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11640" tabRatio="925" activeTab="12"/>
  </bookViews>
  <sheets>
    <sheet name="титульник  (2)" sheetId="7" r:id="rId1"/>
    <sheet name="титульник " sheetId="1" state="hidden" r:id="rId2"/>
    <sheet name="раздел с 11гр" sheetId="10" r:id="rId3"/>
    <sheet name="раздел 1 13гр " sheetId="11" r:id="rId4"/>
    <sheet name="раздел 1 13иные1" sheetId="17" r:id="rId5"/>
    <sheet name="раздел 1 11гр иные" sheetId="16" r:id="rId6"/>
    <sheet name="раздел 1 12гр иные " sheetId="18" r:id="rId7"/>
    <sheet name="раздел 2 МЗ" sheetId="12" state="hidden" r:id="rId8"/>
    <sheet name="раздел 2 иные" sheetId="19" state="hidden" r:id="rId9"/>
    <sheet name="раздел 2 13гр" sheetId="3" state="hidden" r:id="rId10"/>
    <sheet name="внебюджет" sheetId="20" r:id="rId11"/>
    <sheet name="раздел 1 ОБЩ" sheetId="14" r:id="rId12"/>
    <sheet name="раздел 2 ОБЩ" sheetId="15" r:id="rId13"/>
    <sheet name="обоснования 1-5 " sheetId="13" state="hidden" r:id="rId14"/>
    <sheet name="обоснование 6 11гр" sheetId="8" state="hidden" r:id="rId15"/>
    <sheet name="обоснование 6 13гр " sheetId="5" state="hidden" r:id="rId16"/>
    <sheet name="обоснование с 6,2-11,8 13гр" sheetId="9" state="hidden" r:id="rId17"/>
    <sheet name="обоснование с 6,2-11,8 11гр" sheetId="6" state="hidden" r:id="rId18"/>
  </sheets>
  <definedNames>
    <definedName name="_GoBack" localSheetId="17">'обоснование с 6,2-11,8 11гр'!#REF!</definedName>
    <definedName name="_GoBack" localSheetId="16">'обоснование с 6,2-11,8 13гр'!$A$144</definedName>
    <definedName name="_xlnm.Print_Area" localSheetId="14">'обоснование 6 11гр'!$A$1:$K$32</definedName>
    <definedName name="_xlnm.Print_Area" localSheetId="17">'обоснование с 6,2-11,8 11гр'!$A$1:$G$91</definedName>
    <definedName name="_xlnm.Print_Area" localSheetId="16">'обоснование с 6,2-11,8 13гр'!$A$1:$G$174</definedName>
    <definedName name="_xlnm.Print_Area" localSheetId="11">'раздел 1 ОБЩ'!$A$1:$H$85</definedName>
    <definedName name="_xlnm.Print_Area" localSheetId="9">'раздел 2 13гр'!$A$1:$I$64</definedName>
    <definedName name="_xlnm.Print_Area" localSheetId="8">'раздел 2 иные'!$A$1:$I$59</definedName>
    <definedName name="_xlnm.Print_Area" localSheetId="7">'раздел 2 МЗ'!$A$1:$I$59</definedName>
    <definedName name="_xlnm.Print_Area" localSheetId="12">'раздел 2 ОБЩ'!$A$1:$H$55</definedName>
    <definedName name="_xlnm.Print_Area" localSheetId="1">'титульник '!$A$1:$V$37</definedName>
    <definedName name="_xlnm.Print_Area" localSheetId="0">'титульник  (2)'!$A$1:$V$37</definedName>
  </definedNames>
  <calcPr calcId="125725"/>
</workbook>
</file>

<file path=xl/calcChain.xml><?xml version="1.0" encoding="utf-8"?>
<calcChain xmlns="http://schemas.openxmlformats.org/spreadsheetml/2006/main">
  <c r="F11" i="15"/>
  <c r="G11"/>
  <c r="E11"/>
  <c r="F27"/>
  <c r="G27"/>
  <c r="E27"/>
  <c r="F18"/>
  <c r="G18"/>
  <c r="F13"/>
  <c r="G13"/>
  <c r="E13"/>
  <c r="E18"/>
  <c r="F69" i="14"/>
  <c r="G69"/>
  <c r="E69"/>
  <c r="F8" l="1"/>
  <c r="G8"/>
  <c r="E8"/>
  <c r="F8" i="20"/>
  <c r="G8"/>
  <c r="E8"/>
  <c r="F23" i="14"/>
  <c r="J19"/>
  <c r="L11" i="15"/>
  <c r="F30"/>
  <c r="G30"/>
  <c r="E30"/>
  <c r="F21"/>
  <c r="G21"/>
  <c r="E21"/>
  <c r="E17"/>
  <c r="F12"/>
  <c r="G12"/>
  <c r="E12"/>
  <c r="F35"/>
  <c r="G35"/>
  <c r="E35"/>
  <c r="F34"/>
  <c r="G34"/>
  <c r="E34"/>
  <c r="F7"/>
  <c r="G7"/>
  <c r="E7"/>
  <c r="F76" i="14"/>
  <c r="F70" s="1"/>
  <c r="G76"/>
  <c r="E76"/>
  <c r="F80"/>
  <c r="G80"/>
  <c r="E80"/>
  <c r="F79"/>
  <c r="G79"/>
  <c r="E79"/>
  <c r="F78"/>
  <c r="G78"/>
  <c r="E78"/>
  <c r="F77"/>
  <c r="G77"/>
  <c r="E77"/>
  <c r="F75"/>
  <c r="G75"/>
  <c r="E75"/>
  <c r="F74"/>
  <c r="G74"/>
  <c r="E74"/>
  <c r="F73"/>
  <c r="G73"/>
  <c r="E73"/>
  <c r="F72"/>
  <c r="G72"/>
  <c r="E72"/>
  <c r="F71"/>
  <c r="G71"/>
  <c r="E71"/>
  <c r="F68"/>
  <c r="G68"/>
  <c r="E68"/>
  <c r="F64"/>
  <c r="G64"/>
  <c r="E64"/>
  <c r="F63"/>
  <c r="G63"/>
  <c r="E63"/>
  <c r="F62" i="20"/>
  <c r="F62" i="14" s="1"/>
  <c r="G62" i="20"/>
  <c r="E62"/>
  <c r="G62" i="14"/>
  <c r="E62"/>
  <c r="F57"/>
  <c r="G57"/>
  <c r="G54" s="1"/>
  <c r="E57"/>
  <c r="F58"/>
  <c r="F54" s="1"/>
  <c r="G58"/>
  <c r="E58"/>
  <c r="E54" s="1"/>
  <c r="F48"/>
  <c r="G48"/>
  <c r="E48"/>
  <c r="F46"/>
  <c r="G46"/>
  <c r="E46"/>
  <c r="F44"/>
  <c r="G44"/>
  <c r="E44"/>
  <c r="F43"/>
  <c r="G43"/>
  <c r="E43"/>
  <c r="F40"/>
  <c r="G40"/>
  <c r="E40"/>
  <c r="F39"/>
  <c r="G39"/>
  <c r="E39"/>
  <c r="F38"/>
  <c r="G38"/>
  <c r="E38"/>
  <c r="F37"/>
  <c r="G37"/>
  <c r="E37"/>
  <c r="F35"/>
  <c r="G35"/>
  <c r="E35"/>
  <c r="F33"/>
  <c r="G33"/>
  <c r="E33"/>
  <c r="F31"/>
  <c r="G31"/>
  <c r="E31"/>
  <c r="G23"/>
  <c r="E23"/>
  <c r="F22"/>
  <c r="G22"/>
  <c r="E22"/>
  <c r="F20"/>
  <c r="G20"/>
  <c r="E20"/>
  <c r="F18"/>
  <c r="G18"/>
  <c r="E18"/>
  <c r="F17"/>
  <c r="G17"/>
  <c r="E17"/>
  <c r="F16"/>
  <c r="G16"/>
  <c r="E16"/>
  <c r="F15"/>
  <c r="G15"/>
  <c r="E15"/>
  <c r="F13"/>
  <c r="G13"/>
  <c r="E13"/>
  <c r="F9"/>
  <c r="G9"/>
  <c r="E9"/>
  <c r="F12"/>
  <c r="G12"/>
  <c r="E12"/>
  <c r="K19"/>
  <c r="L19"/>
  <c r="F64" i="20"/>
  <c r="G64"/>
  <c r="E64"/>
  <c r="G75" i="11"/>
  <c r="F75"/>
  <c r="G73"/>
  <c r="F73"/>
  <c r="G76" i="20"/>
  <c r="G75"/>
  <c r="G73"/>
  <c r="G69"/>
  <c r="G54"/>
  <c r="G39"/>
  <c r="G33" s="1"/>
  <c r="G32" s="1"/>
  <c r="G12"/>
  <c r="F76"/>
  <c r="F75"/>
  <c r="F69" s="1"/>
  <c r="F73"/>
  <c r="F54"/>
  <c r="F39"/>
  <c r="F33"/>
  <c r="F12"/>
  <c r="E74"/>
  <c r="E75"/>
  <c r="E76"/>
  <c r="E73"/>
  <c r="E70" i="14" l="1"/>
  <c r="I70" s="1"/>
  <c r="G70"/>
  <c r="F32" i="20"/>
  <c r="E12" l="1"/>
  <c r="E64" i="16" l="1"/>
  <c r="E70"/>
  <c r="E69" s="1"/>
  <c r="F23"/>
  <c r="G23"/>
  <c r="F70" i="17"/>
  <c r="F69" s="1"/>
  <c r="F64" s="1"/>
  <c r="G70"/>
  <c r="G69" s="1"/>
  <c r="G64" s="1"/>
  <c r="E70"/>
  <c r="E33"/>
  <c r="E73" i="11"/>
  <c r="E75"/>
  <c r="E74"/>
  <c r="E72"/>
  <c r="E69" s="1"/>
  <c r="E37" i="10"/>
  <c r="E39"/>
  <c r="E35"/>
  <c r="F69"/>
  <c r="F64" s="1"/>
  <c r="G69"/>
  <c r="G64" s="1"/>
  <c r="E69"/>
  <c r="E64" s="1"/>
  <c r="F44" i="11" l="1"/>
  <c r="F43" s="1"/>
  <c r="G44"/>
  <c r="G43" s="1"/>
  <c r="E44"/>
  <c r="E43" s="1"/>
  <c r="E69" i="20"/>
  <c r="E54"/>
  <c r="E39"/>
  <c r="E33" s="1"/>
  <c r="E32" l="1"/>
  <c r="F40" i="11"/>
  <c r="G40"/>
  <c r="E40"/>
  <c r="G39" i="18"/>
  <c r="F39"/>
  <c r="E12" i="12"/>
  <c r="G7" i="19"/>
  <c r="F7"/>
  <c r="F35"/>
  <c r="G35"/>
  <c r="G13"/>
  <c r="F13"/>
  <c r="E13"/>
  <c r="E12" s="1"/>
  <c r="E7" s="1"/>
  <c r="G12"/>
  <c r="F12"/>
  <c r="E76" i="18"/>
  <c r="G70"/>
  <c r="F70"/>
  <c r="E70"/>
  <c r="E69" s="1"/>
  <c r="E64" s="1"/>
  <c r="G69"/>
  <c r="F69"/>
  <c r="G64"/>
  <c r="F64"/>
  <c r="G62"/>
  <c r="F62"/>
  <c r="E62"/>
  <c r="G59"/>
  <c r="F59"/>
  <c r="E59"/>
  <c r="G54"/>
  <c r="F54"/>
  <c r="E54"/>
  <c r="G44"/>
  <c r="G43" s="1"/>
  <c r="F44"/>
  <c r="F43" s="1"/>
  <c r="E44"/>
  <c r="E43"/>
  <c r="G33"/>
  <c r="F33"/>
  <c r="E33"/>
  <c r="F64" i="16"/>
  <c r="G64"/>
  <c r="F44"/>
  <c r="G44"/>
  <c r="E44"/>
  <c r="E43" s="1"/>
  <c r="G22"/>
  <c r="G8" s="1"/>
  <c r="F22"/>
  <c r="F8" s="1"/>
  <c r="E77" i="17"/>
  <c r="E69"/>
  <c r="E64" s="1"/>
  <c r="G62"/>
  <c r="F62"/>
  <c r="E62"/>
  <c r="G59"/>
  <c r="F59"/>
  <c r="E59"/>
  <c r="G54"/>
  <c r="F54"/>
  <c r="E54"/>
  <c r="E32" s="1"/>
  <c r="E23" s="1"/>
  <c r="E22" s="1"/>
  <c r="E8" s="1"/>
  <c r="G33"/>
  <c r="F33"/>
  <c r="F32" s="1"/>
  <c r="F23" s="1"/>
  <c r="F22" s="1"/>
  <c r="F8" s="1"/>
  <c r="E77" i="16"/>
  <c r="E35" i="19"/>
  <c r="G70" i="16"/>
  <c r="G69" s="1"/>
  <c r="F70"/>
  <c r="F69" s="1"/>
  <c r="G62"/>
  <c r="F62"/>
  <c r="E62"/>
  <c r="G59"/>
  <c r="F59"/>
  <c r="E59"/>
  <c r="G54"/>
  <c r="F54"/>
  <c r="E54"/>
  <c r="G43"/>
  <c r="F43"/>
  <c r="G33"/>
  <c r="F33"/>
  <c r="F32" s="1"/>
  <c r="E33"/>
  <c r="G39" i="10"/>
  <c r="F39"/>
  <c r="G37"/>
  <c r="F37"/>
  <c r="G35"/>
  <c r="F35"/>
  <c r="E33" i="11"/>
  <c r="G74"/>
  <c r="F74"/>
  <c r="G72"/>
  <c r="G69" s="1"/>
  <c r="F72"/>
  <c r="F69" s="1"/>
  <c r="F12" i="12" s="1"/>
  <c r="D26" i="9"/>
  <c r="D21"/>
  <c r="D22"/>
  <c r="C32" i="6"/>
  <c r="K13" i="5"/>
  <c r="K14"/>
  <c r="K15"/>
  <c r="K12"/>
  <c r="C16"/>
  <c r="C102" i="9"/>
  <c r="C103"/>
  <c r="C104"/>
  <c r="C105"/>
  <c r="C106"/>
  <c r="C107"/>
  <c r="C101"/>
  <c r="E111"/>
  <c r="E12" i="8"/>
  <c r="E82" i="14"/>
  <c r="E59"/>
  <c r="G13" i="12"/>
  <c r="F13"/>
  <c r="G13" i="3"/>
  <c r="G12" s="1"/>
  <c r="G7" s="1"/>
  <c r="G34" s="1"/>
  <c r="F13"/>
  <c r="F12" s="1"/>
  <c r="F7" s="1"/>
  <c r="F34" s="1"/>
  <c r="F33" i="11"/>
  <c r="G33"/>
  <c r="G62" i="10"/>
  <c r="G59"/>
  <c r="G54"/>
  <c r="G44"/>
  <c r="G43" s="1"/>
  <c r="F62"/>
  <c r="F59"/>
  <c r="F54"/>
  <c r="F44"/>
  <c r="F43" s="1"/>
  <c r="D60" i="6"/>
  <c r="E60"/>
  <c r="E61"/>
  <c r="E35" i="13"/>
  <c r="E25"/>
  <c r="D25"/>
  <c r="E39"/>
  <c r="H35"/>
  <c r="D35"/>
  <c r="D34"/>
  <c r="E29"/>
  <c r="H38"/>
  <c r="H39"/>
  <c r="D24"/>
  <c r="H28"/>
  <c r="E79" i="11"/>
  <c r="E64" s="1"/>
  <c r="E62"/>
  <c r="E59"/>
  <c r="E76" i="10"/>
  <c r="E62"/>
  <c r="E59"/>
  <c r="E54"/>
  <c r="E44"/>
  <c r="E43" s="1"/>
  <c r="E76" i="6"/>
  <c r="C74"/>
  <c r="C50"/>
  <c r="C47"/>
  <c r="C45"/>
  <c r="C44"/>
  <c r="D44"/>
  <c r="C40"/>
  <c r="C29"/>
  <c r="C27"/>
  <c r="C26"/>
  <c r="D26"/>
  <c r="C22"/>
  <c r="D50"/>
  <c r="D47"/>
  <c r="D40"/>
  <c r="D39"/>
  <c r="I133" i="9"/>
  <c r="E131"/>
  <c r="E129"/>
  <c r="E127"/>
  <c r="E126"/>
  <c r="H125"/>
  <c r="H128"/>
  <c r="C109"/>
  <c r="E55"/>
  <c r="C54"/>
  <c r="C53"/>
  <c r="E44"/>
  <c r="E43"/>
  <c r="D32"/>
  <c r="D29"/>
  <c r="F32" i="8"/>
  <c r="G32"/>
  <c r="H32"/>
  <c r="C32"/>
  <c r="D30"/>
  <c r="I30"/>
  <c r="J30"/>
  <c r="E30"/>
  <c r="D29"/>
  <c r="I29"/>
  <c r="J29"/>
  <c r="E29"/>
  <c r="D43" i="6"/>
  <c r="E45" i="9"/>
  <c r="H137"/>
  <c r="E13" i="12"/>
  <c r="D51" i="6"/>
  <c r="H131" i="9"/>
  <c r="E135"/>
  <c r="H139"/>
  <c r="E50" i="6"/>
  <c r="E26" i="8"/>
  <c r="F19"/>
  <c r="G19"/>
  <c r="H19"/>
  <c r="C19"/>
  <c r="E14"/>
  <c r="D14"/>
  <c r="I14"/>
  <c r="J14"/>
  <c r="K33"/>
  <c r="K20"/>
  <c r="K36"/>
  <c r="H35"/>
  <c r="G35"/>
  <c r="F35"/>
  <c r="E28"/>
  <c r="D28"/>
  <c r="I28"/>
  <c r="J28"/>
  <c r="E27"/>
  <c r="D27"/>
  <c r="D26"/>
  <c r="I26"/>
  <c r="J26"/>
  <c r="E25"/>
  <c r="D25"/>
  <c r="E24"/>
  <c r="D24"/>
  <c r="I24"/>
  <c r="J24"/>
  <c r="E23"/>
  <c r="D23"/>
  <c r="I23"/>
  <c r="J23"/>
  <c r="D22"/>
  <c r="L19"/>
  <c r="D18"/>
  <c r="I18"/>
  <c r="J18"/>
  <c r="D17"/>
  <c r="I17"/>
  <c r="J17"/>
  <c r="D16"/>
  <c r="I16"/>
  <c r="J16"/>
  <c r="E15"/>
  <c r="D15"/>
  <c r="I15"/>
  <c r="J15"/>
  <c r="E13"/>
  <c r="E19"/>
  <c r="D12"/>
  <c r="I12"/>
  <c r="J12"/>
  <c r="D11"/>
  <c r="D13"/>
  <c r="I13"/>
  <c r="J13"/>
  <c r="E32"/>
  <c r="E35"/>
  <c r="I25"/>
  <c r="D32"/>
  <c r="D19"/>
  <c r="I22"/>
  <c r="I27"/>
  <c r="I19"/>
  <c r="J25"/>
  <c r="I32"/>
  <c r="I35"/>
  <c r="J27"/>
  <c r="J22"/>
  <c r="J11"/>
  <c r="J19"/>
  <c r="J32"/>
  <c r="K34"/>
  <c r="K21"/>
  <c r="K14"/>
  <c r="K27"/>
  <c r="K22"/>
  <c r="J35"/>
  <c r="K37"/>
  <c r="K11"/>
  <c r="K29"/>
  <c r="K30"/>
  <c r="K23"/>
  <c r="K24"/>
  <c r="K25"/>
  <c r="K26"/>
  <c r="K28"/>
  <c r="K12"/>
  <c r="K13"/>
  <c r="K15"/>
  <c r="K16"/>
  <c r="K17"/>
  <c r="K18"/>
  <c r="K32"/>
  <c r="K35"/>
  <c r="K19"/>
  <c r="E13" i="3"/>
  <c r="E12" s="1"/>
  <c r="E7" s="1"/>
  <c r="E34" s="1"/>
  <c r="D32" i="6"/>
  <c r="D29"/>
  <c r="D22"/>
  <c r="D21"/>
  <c r="E15" i="5"/>
  <c r="K17"/>
  <c r="D13"/>
  <c r="I13"/>
  <c r="J13"/>
  <c r="D14"/>
  <c r="I14"/>
  <c r="J14"/>
  <c r="D15"/>
  <c r="J15"/>
  <c r="D12"/>
  <c r="D16"/>
  <c r="D25" i="6"/>
  <c r="D33"/>
  <c r="I12" i="5"/>
  <c r="J12"/>
  <c r="E32" i="6"/>
  <c r="J16" i="5"/>
  <c r="K18"/>
  <c r="G12" i="12" l="1"/>
  <c r="G32" i="17"/>
  <c r="G23" s="1"/>
  <c r="G22" s="1"/>
  <c r="G8" s="1"/>
  <c r="G17" i="15"/>
  <c r="E35" i="12"/>
  <c r="E32" i="11"/>
  <c r="G32" i="18"/>
  <c r="F32"/>
  <c r="E32"/>
  <c r="E32" i="16"/>
  <c r="E23" s="1"/>
  <c r="E22" s="1"/>
  <c r="E8" s="1"/>
  <c r="G32"/>
  <c r="G7" i="12"/>
  <c r="E7"/>
  <c r="G33" i="10"/>
  <c r="G32" s="1"/>
  <c r="G13" s="1"/>
  <c r="G12" s="1"/>
  <c r="G8" s="1"/>
  <c r="E33"/>
  <c r="F33"/>
  <c r="F32" s="1"/>
  <c r="F13" s="1"/>
  <c r="F12" s="1"/>
  <c r="F8" s="1"/>
  <c r="F64" i="11"/>
  <c r="G64"/>
  <c r="D25" i="9"/>
  <c r="D33" s="1"/>
  <c r="E32" i="10" l="1"/>
  <c r="E13" s="1"/>
  <c r="E12" s="1"/>
  <c r="E8" s="1"/>
  <c r="G32" i="14"/>
  <c r="F32"/>
  <c r="F17" i="15"/>
  <c r="E32" i="14"/>
  <c r="F23" i="18"/>
  <c r="F22" s="1"/>
  <c r="E23"/>
  <c r="E22" s="1"/>
  <c r="G23"/>
  <c r="G22" s="1"/>
  <c r="G32" i="11"/>
  <c r="G35" i="12"/>
  <c r="F32" i="11"/>
  <c r="F35" i="12"/>
  <c r="F7"/>
  <c r="E32" i="9"/>
  <c r="F8" i="18" l="1"/>
  <c r="G8"/>
  <c r="E8"/>
  <c r="G13" i="11"/>
  <c r="F13"/>
  <c r="G12"/>
  <c r="F12" l="1"/>
  <c r="G8"/>
  <c r="E13"/>
  <c r="F8" l="1"/>
  <c r="G29" i="14" s="1"/>
  <c r="E12" i="11"/>
  <c r="E8" l="1"/>
</calcChain>
</file>

<file path=xl/sharedStrings.xml><?xml version="1.0" encoding="utf-8"?>
<sst xmlns="http://schemas.openxmlformats.org/spreadsheetml/2006/main" count="1770" uniqueCount="392">
  <si>
    <t>Приложение № 1</t>
  </si>
  <si>
    <t>к Порядку составления и утверждения</t>
  </si>
  <si>
    <t>плана финансово-хозяйственной деятельности</t>
  </si>
  <si>
    <t xml:space="preserve">муниципальных бюджетных и автономных </t>
  </si>
  <si>
    <t>учреждений городского округа город Уфа</t>
  </si>
  <si>
    <t>Республики Башкортостан</t>
  </si>
  <si>
    <t>УТВЕРЖДАЮ</t>
  </si>
  <si>
    <t xml:space="preserve">             </t>
  </si>
  <si>
    <t>«___»  ________________   20____г.</t>
  </si>
  <si>
    <t>КОДЫ </t>
  </si>
  <si>
    <t xml:space="preserve">                   </t>
  </si>
  <si>
    <t>ИНН</t>
  </si>
  <si>
    <t>КПП</t>
  </si>
  <si>
    <t>по ОКЕИ</t>
  </si>
  <si>
    <t> 383</t>
  </si>
  <si>
    <t>Единица измерения: руб.</t>
  </si>
  <si>
    <t>(наименование должности лица, утверждающего документ)</t>
  </si>
  <si>
    <t xml:space="preserve">Наименование главного  распорядителя__________________________________________________________________________________________ </t>
  </si>
  <si>
    <t xml:space="preserve">Дата по Сводному реестру </t>
  </si>
  <si>
    <t xml:space="preserve">глава по БК                                  по Сводному реестру </t>
  </si>
  <si>
    <t>Приложение №1</t>
  </si>
  <si>
    <t xml:space="preserve">к Порядку составления и утверждения </t>
  </si>
  <si>
    <t xml:space="preserve">плана финансово-хозяйственной деятельности </t>
  </si>
  <si>
    <t xml:space="preserve">муниципальных бюджетных и автономных учреждений городского округа город Уфа </t>
  </si>
  <si>
    <t xml:space="preserve">Республики Башкортостан </t>
  </si>
  <si>
    <t xml:space="preserve">Управление образования Администрации городского округа город Уфа Республики Башкортостан </t>
  </si>
  <si>
    <t xml:space="preserve">Раздел 1. Поступления и выплаты </t>
  </si>
  <si>
    <t>Наименование показателя</t>
  </si>
  <si>
    <t>Код строки</t>
  </si>
  <si>
    <t>Сумма</t>
  </si>
  <si>
    <t>за пределами планового периода</t>
  </si>
  <si>
    <t>x</t>
  </si>
  <si>
    <t>Доходы, всего:</t>
  </si>
  <si>
    <t>в том числе:</t>
  </si>
  <si>
    <t>доходы от собственности, всего</t>
  </si>
  <si>
    <t xml:space="preserve">     в том числе:</t>
  </si>
  <si>
    <t>доходы от оказания услуг, работ, компенсации затрат учреждений, всего</t>
  </si>
  <si>
    <t xml:space="preserve">субсидии на финансовое обеспечение выполнения муниципального задания </t>
  </si>
  <si>
    <t xml:space="preserve">доходы от оказания услуг (выполнения работ) на платной основе и от иной приносящей доход деятельности </t>
  </si>
  <si>
    <t>возмещение расходов, понесенных в связи с эксплуатацией муниципального имущества, закрепленного на праве оперативного управления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</si>
  <si>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</si>
  <si>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</si>
  <si>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</si>
  <si>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</si>
  <si>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</si>
  <si>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</si>
  <si>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 &lt;6&gt;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</si>
  <si>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</si>
  <si>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</si>
  <si>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</si>
  <si>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</si>
  <si>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фонд оплаты труда учреждений</t>
  </si>
  <si>
    <t>иные выплаты персоналу учреждений, за исключением фонда оплаты труда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</si>
  <si>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</si>
  <si>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</si>
  <si>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</si>
  <si>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</si>
  <si>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</si>
  <si>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</si>
  <si>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 xml:space="preserve">              приобретение товаров, работ, услуг </t>
  </si>
  <si>
    <t xml:space="preserve">              в пользу граждан в целях их</t>
  </si>
  <si>
    <t xml:space="preserve">              социального обеспечения</t>
  </si>
  <si>
    <t>выплата стипендий</t>
  </si>
  <si>
    <t xml:space="preserve">премии и гранты </t>
  </si>
  <si>
    <t>иные выплаты населению</t>
  </si>
  <si>
    <t>уплата налогов, сборов и иных платежей, всего</t>
  </si>
  <si>
    <t>прочие налоги, сборы</t>
  </si>
  <si>
    <t>уплата иных платежей</t>
  </si>
  <si>
    <t>безвозмездные перечисления организациям и физическим лицам, всего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</si>
  <si>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</si>
  <si>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</si>
  <si>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</t>
  </si>
  <si>
    <t>расходы на закупку товаров, работ, услуг, всего &lt;7&gt;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</si>
  <si>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</si>
  <si>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</si>
  <si>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</si>
  <si>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</si>
  <si>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</si>
  <si>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</si>
  <si>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</si>
  <si>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 &lt;8&gt;</t>
  </si>
  <si>
    <t>налог на прибыль &lt;8&gt;</t>
  </si>
  <si>
    <t>налог на добавленную стоимость &lt;8&gt;</t>
  </si>
  <si>
    <t>прочие налоги, уменьшающие доход &lt;8&gt;</t>
  </si>
  <si>
    <t>Прочие выплаты, всего &lt;9&gt;</t>
  </si>
  <si>
    <t>возврат в бюджет средств субсидии</t>
  </si>
  <si>
    <t>610(620)</t>
  </si>
  <si>
    <r>
      <t>социальное обеспечение и иные выплаты населению,</t>
    </r>
    <r>
      <rPr>
        <sz val="12"/>
        <rFont val="Times New Roman"/>
        <family val="1"/>
        <charset val="204"/>
      </rPr>
      <t xml:space="preserve"> всего</t>
    </r>
  </si>
  <si>
    <r>
      <t>налог на имущество организаций и земельный налог</t>
    </r>
    <r>
      <rPr>
        <sz val="11"/>
        <rFont val="Times New Roman"/>
        <family val="1"/>
        <charset val="204"/>
      </rPr>
      <t xml:space="preserve">  </t>
    </r>
  </si>
  <si>
    <t>Раздел 2. Сведения по выплатам на закупки товаров, работ, услуг &lt;10&gt;</t>
  </si>
  <si>
    <t>№ п/п</t>
  </si>
  <si>
    <t>Коды строк</t>
  </si>
  <si>
    <t>Год начала закупки</t>
  </si>
  <si>
    <t>Выплаты на закупку товаров, работ, услуг, всего &lt;11&gt;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</si>
  <si>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</si>
  <si>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</si>
  <si>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</si>
  <si>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</si>
  <si>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муниципального задания</t>
  </si>
  <si>
    <t>1.4.1.1.</t>
  </si>
  <si>
    <t>в соответствии с Федеральным законом № 44-ФЗ</t>
  </si>
  <si>
    <t>1.4.1.2.</t>
  </si>
  <si>
    <t>1.4.2.</t>
  </si>
  <si>
    <t>за счет субсидий, предоставляемых бюджетным и автономным учреждениям на иные цели</t>
  </si>
  <si>
    <t>1.4.2.1</t>
  </si>
  <si>
    <t>1.4.2.2.</t>
  </si>
  <si>
    <t>1.4.3.</t>
  </si>
  <si>
    <t>за счет субсидий, предоставляемых на осуществление капитальных вложений &lt;15&gt;</t>
  </si>
  <si>
    <t>1.4.4.</t>
  </si>
  <si>
    <t>за счет средств обязательного медицинского страхования</t>
  </si>
  <si>
    <t>1.4.4.1.</t>
  </si>
  <si>
    <t>в соответствии с Федеральным законом N 44-ФЗ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</si>
  <si>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</si>
  <si>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</si>
  <si>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</si>
  <si>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</si>
  <si>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</si>
  <si>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</si>
  <si>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</si>
  <si>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</si>
  <si>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</si>
  <si>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</si>
  <si>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 xml:space="preserve">    Руководитель учреждения</t>
  </si>
  <si>
    <t xml:space="preserve">                                                                         (должность)                     (подпись)                         (расшифровка подписи)</t>
  </si>
  <si>
    <t>СОГЛАСОВАНО</t>
  </si>
  <si>
    <t xml:space="preserve">      (наименование должности уполномоченного лица главного распорядителя)                                                                        </t>
  </si>
  <si>
    <t xml:space="preserve">     (подпись)                                                       (расшифровка подписи)          </t>
  </si>
  <si>
    <t>в соответствии с Федеральным законом № 223-ФЗ &lt;14&gt;</t>
  </si>
  <si>
    <t>в соответствии с Федеральным законом N 223-ФЗ &lt;14&gt;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</si>
  <si>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&lt;16&gt;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</si>
  <si>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 июля 2011 г. № 223-ФЗ «О закупках товаров, работ, услуг отдельными видами юридических лиц» (далее - Федеральный закон № 223-ФЗ) &lt;12&gt;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</si>
  <si>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&lt;12&gt;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</si>
  <si>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&lt;13&gt;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</si>
  <si>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&lt;13&gt;</t>
  </si>
  <si>
    <t>Приложение № 2</t>
  </si>
  <si>
    <t xml:space="preserve">плана финансово-хозяйственной деятельности муниципальных бюджетных и автономных </t>
  </si>
  <si>
    <t>учреждений городского округа город Уфа Республики Башкортостан</t>
  </si>
  <si>
    <t>Обоснования (расчеты)</t>
  </si>
  <si>
    <t>к плану финансово-хозяйственной деятельности</t>
  </si>
  <si>
    <t>муниципального бюджетного (автономного) учреждения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</si>
  <si>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Обоснования (расчеты) поступлений по доходам от арендной платы за использование собственности</t>
    </r>
  </si>
  <si>
    <t>Количество</t>
  </si>
  <si>
    <t>Ставка арендной платы, руб.</t>
  </si>
  <si>
    <t>Общая сумма поступлений, руб.</t>
  </si>
  <si>
    <t>Итого:</t>
  </si>
  <si>
    <t>х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</si>
  <si>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Обоснования (расчеты) поступлений по доходам от оказания услуг (выполнения работ) в рамках муниципального задания</t>
    </r>
  </si>
  <si>
    <t xml:space="preserve"> </t>
  </si>
  <si>
    <t>Наименование услуги (работы)</t>
  </si>
  <si>
    <t>Объем услуг (работ)</t>
  </si>
  <si>
    <t>Стоимость единицы услуги (работы), руб.</t>
  </si>
  <si>
    <t>3. Обоснования (расчеты) поступлений от оказания услуг (выполнения работ) на платной основе и от приносящей доход деятельности</t>
  </si>
  <si>
    <t>Количество договоров</t>
  </si>
  <si>
    <t>Стоимость услуги (работы), руб.</t>
  </si>
  <si>
    <t>4. Обоснования (расчеты) поступлений в виде возмещения расходов, понесенных в связи с эксплуатацией муниципального имущества, закрепленного на праве оперативного управления</t>
  </si>
  <si>
    <t>Наименование расходов</t>
  </si>
  <si>
    <t>Стоимость услуг, руб.</t>
  </si>
  <si>
    <t>Количество выплат в год</t>
  </si>
  <si>
    <t>5. Обоснования (расчеты) поступлений по доходам в виде целевых субсидий</t>
  </si>
  <si>
    <t>Наименование целевой субсидии</t>
  </si>
  <si>
    <t>Сумма поступлений, руб.</t>
  </si>
  <si>
    <t>6. Обоснования (расчеты) выплат персоналу</t>
  </si>
  <si>
    <t>6.1. Обоснования (расчеты) расходов на оплату труда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</si>
  <si>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</si>
  <si>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</si>
  <si>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</si>
  <si>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Ежемесячная надбавка к должностному окладу, %</t>
  </si>
  <si>
    <t>Районный коэффициент</t>
  </si>
  <si>
    <t xml:space="preserve">Фонд оплаты труда в год, руб. 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</si>
  <si>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</si>
  <si>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</si>
  <si>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</si>
  <si>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</si>
  <si>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6.2. Обоснования (расчеты) выплат персоналу при направлении в служебные командировки</t>
  </si>
  <si>
    <t>Средний размер выплаты на одного работника в день, руб.</t>
  </si>
  <si>
    <t>Количество работников, чел</t>
  </si>
  <si>
    <t>Количество дней</t>
  </si>
  <si>
    <r>
      <t>Сумма, руб. (</t>
    </r>
    <r>
      <rPr>
        <sz val="12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rFont val="Times New Roman"/>
        <family val="1"/>
        <charset val="204"/>
      </rPr>
      <t>гр. 5</t>
    </r>
    <r>
      <rPr>
        <sz val="12"/>
        <color theme="1"/>
        <rFont val="Times New Roman"/>
        <family val="1"/>
        <charset val="204"/>
      </rPr>
      <t>)</t>
    </r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</si>
  <si>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</si>
  <si>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</si>
  <si>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</si>
  <si>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6.4. Обоснования (расчеты)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</si>
  <si>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</si>
  <si>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</si>
  <si>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</si>
  <si>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</si>
  <si>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в том числе: по ставке 22,0%</t>
  </si>
  <si>
    <t xml:space="preserve">    по ставке 10,0%</t>
  </si>
  <si>
    <t xml:space="preserve">    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</si>
  <si>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</si>
  <si>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</si>
  <si>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 xml:space="preserve">    в том числе:</t>
  </si>
  <si>
    <t>обязательное социальное страхование на случай временной нетрудоспособности и в связи с материнством по ставке 2,9%</t>
  </si>
  <si>
    <t>2.2.</t>
  </si>
  <si>
    <t xml:space="preserve">    с применением ставки взносов в Фонд социального страхования Российской Федерации по ставке 0,0%</t>
  </si>
  <si>
    <t>2.3.</t>
  </si>
  <si>
    <t xml:space="preserve">    обязательное социальное страхование от несчастных случаев на производстве и профессиональных заболеваний по ставке 0,2%</t>
  </si>
  <si>
    <t>2.4.</t>
  </si>
  <si>
    <t xml:space="preserve">    обязательное социальное страхование от несчастных случаев на производстве и профессиональных заболеваний по ставке 0,_% &lt;*&gt;</t>
  </si>
  <si>
    <t>2.5.</t>
  </si>
  <si>
    <t>Страховые взносы в Федеральный фонд обязательного медицинского страхования, всего (по ставке 5,1%)</t>
  </si>
  <si>
    <t xml:space="preserve">    &lt;*&gt;   Указываются   страховые  тарифы,  дифференцированные  по  классам профессионального  риска,  установленные  Федеральным законом от 22 декабря 2005   г.    № 179-ФЗ  «О  страховых  тарифах  на  обязательное социальное страхование  от  несчастных  случаев  на  производстве  и  профессиональных заболеваний  на  2006 год».</t>
  </si>
  <si>
    <t>7. Обоснования (расчеты) расходов на социальные и иные выплаты населению</t>
  </si>
  <si>
    <t>Код видов расходов _________________________________________________</t>
  </si>
  <si>
    <t>Источник финансового обеспечения __________________________________</t>
  </si>
  <si>
    <t>Размер одной выплаты, руб.</t>
  </si>
  <si>
    <r>
      <t>Общая сумма выплат, руб. (</t>
    </r>
    <r>
      <rPr>
        <sz val="12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>)</t>
    </r>
  </si>
  <si>
    <t xml:space="preserve">                                                              Итого:</t>
  </si>
  <si>
    <t>8. Обоснования (расчеты) расходов на уплату налогов, сборов и иных платежей</t>
  </si>
  <si>
    <t>Налоговая база, руб.</t>
  </si>
  <si>
    <t>Ставка налога,%</t>
  </si>
  <si>
    <r>
      <t>Сумма исчисленного налога, подлежащего уплате, руб. (</t>
    </r>
    <r>
      <rPr>
        <sz val="12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>/100)</t>
    </r>
  </si>
  <si>
    <t xml:space="preserve">                                                         Итого:</t>
  </si>
  <si>
    <t>9. Обоснования (расчеты) расходов на безвозмездные перечисления организациям</t>
  </si>
  <si>
    <t xml:space="preserve">     </t>
  </si>
  <si>
    <t>10. Обоснования (расчеты) прочих расходов (кроме расходов на закупку товаров, работ, услуг)</t>
  </si>
  <si>
    <t>11. Обоснования (расчеты) расходов на закупку товаров, работ, услуг</t>
  </si>
  <si>
    <t>11.1. Обоснования (расчеты)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</si>
  <si>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</si>
  <si>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</si>
  <si>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</si>
  <si>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11.2. Обоснования (расчеты) расходов на оплату транспортных услуг</t>
  </si>
  <si>
    <t>Количество услуг перевозки</t>
  </si>
  <si>
    <t>Цена услуги перевозки, руб.</t>
  </si>
  <si>
    <r>
      <t>Сумма, руб. (</t>
    </r>
    <r>
      <rPr>
        <sz val="12"/>
        <rFont val="Times New Roman"/>
        <family val="1"/>
        <charset val="204"/>
      </rPr>
      <t>гр. 3</t>
    </r>
    <r>
      <rPr>
        <sz val="12"/>
        <color theme="1"/>
        <rFont val="Times New Roman"/>
        <family val="1"/>
        <charset val="204"/>
      </rPr>
      <t xml:space="preserve"> x </t>
    </r>
    <r>
      <rPr>
        <sz val="12"/>
        <rFont val="Times New Roman"/>
        <family val="1"/>
        <charset val="204"/>
      </rPr>
      <t>гр. 4</t>
    </r>
    <r>
      <rPr>
        <sz val="12"/>
        <color theme="1"/>
        <rFont val="Times New Roman"/>
        <family val="1"/>
        <charset val="204"/>
      </rPr>
      <t>)</t>
    </r>
  </si>
  <si>
    <t>11.3. Обоснования (расчеты) расходов на оплату коммунальных услуг</t>
  </si>
  <si>
    <t>Размер потребления ресурсов</t>
  </si>
  <si>
    <t>Тариф, руб.</t>
  </si>
  <si>
    <t>11.4. Обоснования (расчеты) расходов на оплату аренды имущества</t>
  </si>
  <si>
    <t>Ставка арендной платы</t>
  </si>
  <si>
    <t xml:space="preserve">Стоимость, руб. </t>
  </si>
  <si>
    <t>11.5. Обоснования (расчеты) расходов на оплату работ, услуг по содержанию имущества</t>
  </si>
  <si>
    <t>Объект</t>
  </si>
  <si>
    <t>Количество работ (услуг)</t>
  </si>
  <si>
    <t xml:space="preserve">Стоимость работ (услуг), руб. </t>
  </si>
  <si>
    <t xml:space="preserve">11.6. Обоснования (расчеты) расходов на оплату прочих работ, услуг </t>
  </si>
  <si>
    <t xml:space="preserve">11.7. Обоснования (расчеты) расходов на приобретение основных средств </t>
  </si>
  <si>
    <t>Средняя стоимость, руб.</t>
  </si>
  <si>
    <t xml:space="preserve">11.8. Обоснования (расчеты) расходов на приобретение материальных запасов </t>
  </si>
  <si>
    <t>6.3. Обоснования (расчеты) выплат персоналу по уходу за ребенком</t>
  </si>
  <si>
    <t xml:space="preserve">Директор     учреждения </t>
  </si>
  <si>
    <t>__________</t>
  </si>
  <si>
    <t>Т.А. Андреева</t>
  </si>
  <si>
    <t>(подпись)</t>
  </si>
  <si>
    <t xml:space="preserve"> (расшифровка подписи)</t>
  </si>
  <si>
    <t>м.п.</t>
  </si>
  <si>
    <t xml:space="preserve">Директор МКУ ЦБ  </t>
  </si>
  <si>
    <t xml:space="preserve">  А.А.Куланчина </t>
  </si>
  <si>
    <t>Ответственный исполнитель</t>
  </si>
  <si>
    <t>237-21-17</t>
  </si>
  <si>
    <t xml:space="preserve">телефон </t>
  </si>
  <si>
    <t>И.А.Бадретдинова</t>
  </si>
  <si>
    <t>Начальник Управления образования Администрации городского округа город Уфа Республики Башкортостан</t>
  </si>
  <si>
    <t>________________________Е.Р. Хаффазова</t>
  </si>
  <si>
    <t xml:space="preserve"> (подпись)                  (расшифровка подписи)</t>
  </si>
  <si>
    <t>План финансово-хозяйственной деятельности на  2020 год                                                                       (на 2020 год и плановый период 2021  и 2022  годов )</t>
  </si>
  <si>
    <t xml:space="preserve"> от «___» декабря 2020 г. </t>
  </si>
  <si>
    <r>
      <t>Наименование  учреждения</t>
    </r>
    <r>
      <rPr>
        <b/>
        <sz val="14"/>
        <color theme="1"/>
        <rFont val="Times New Roman"/>
        <family val="1"/>
        <charset val="204"/>
      </rPr>
      <t xml:space="preserve"> __________________________________________________________________________________________________________________</t>
    </r>
  </si>
  <si>
    <t xml:space="preserve">Муниципальное автономное общеобразовательное учреждение Школа № 37 городского округа город Уфа Республики Башкортостан
</t>
  </si>
  <si>
    <t>Адрес фактического местонахождения муниципального учреждения городского округа город Уфа Республики Башкортостан  450099, Республика Башкортостан, г.Уфа, ул. Ю.Гагарина, 15</t>
  </si>
  <si>
    <t xml:space="preserve">Муниципальное автономное </t>
  </si>
  <si>
    <t xml:space="preserve">образовательное учреждение Школа №37 </t>
  </si>
  <si>
    <t xml:space="preserve">председатель наблюдательного совета                                                                                                                                 </t>
  </si>
  <si>
    <t>городского округа г.Уфа РБ</t>
  </si>
  <si>
    <t>_________________________</t>
  </si>
  <si>
    <t xml:space="preserve">Директор Т.А. Андреева </t>
  </si>
  <si>
    <t>______________________________________________</t>
  </si>
  <si>
    <t xml:space="preserve">                                                                                                                                             </t>
  </si>
  <si>
    <t xml:space="preserve">дата (подпись ) </t>
  </si>
  <si>
    <t>зам.директора по АХЧ</t>
  </si>
  <si>
    <t xml:space="preserve">делопроизводитель </t>
  </si>
  <si>
    <t xml:space="preserve">секретарь </t>
  </si>
  <si>
    <t xml:space="preserve">дворник </t>
  </si>
  <si>
    <t xml:space="preserve">Фонд оплаты труда в месяц, руб. </t>
  </si>
  <si>
    <t>Земельный налог</t>
  </si>
  <si>
    <t>налог на имущество организации</t>
  </si>
  <si>
    <t>тепло (Гкал.)</t>
  </si>
  <si>
    <t>тепло (м3)</t>
  </si>
  <si>
    <t>горячая вода (куб.м.)</t>
  </si>
  <si>
    <t>горячая вода (Гкал.)</t>
  </si>
  <si>
    <t>холодная вода (куб.м.)</t>
  </si>
  <si>
    <t>водоотведение (куб.м.)</t>
  </si>
  <si>
    <t>электроэнергия (кВт.ч.)</t>
  </si>
  <si>
    <t>газ</t>
  </si>
  <si>
    <t>прочие расходы</t>
  </si>
  <si>
    <t>Источник финансового обеспечения средства бюджета городского округа город Уфа Республики Башкортостан</t>
  </si>
  <si>
    <t>Код видов расходов 244 Прочая закупка товаров, работ и услуг</t>
  </si>
  <si>
    <t xml:space="preserve">Код видов расходов  111 Фонд оплаты труда учреждений, 119 Взносы по обязательному социальному страхованию на выплаты по оплате труда работников и иные выплаты </t>
  </si>
  <si>
    <t>Источник финансового обеспечения: средства бюджета городского округа город Уфа Республики Башкортостан</t>
  </si>
  <si>
    <t>услуги по охране зданий (аутсорсинг)</t>
  </si>
  <si>
    <t>Услуги по уборке помещений (аутсорсинг)</t>
  </si>
  <si>
    <t>услуги по техобслуживанию КЭВНМ</t>
  </si>
  <si>
    <t xml:space="preserve">услуги по техобслуживанию АПС </t>
  </si>
  <si>
    <t>услуги по техобслуживанию АПС (кнопка связи с пожарной частью)</t>
  </si>
  <si>
    <t>услуги по техническому обслуживанию зданий</t>
  </si>
  <si>
    <t xml:space="preserve">96000 оплата </t>
  </si>
  <si>
    <t xml:space="preserve">293239,58 обслуж-е </t>
  </si>
  <si>
    <t>услуги по дератизации</t>
  </si>
  <si>
    <t>услуги по вывозу мусора</t>
  </si>
  <si>
    <t>Код видов расходов 321 Пособия, компенсация и иные социальные выплаты гражданам, кроме публичных нормативных обязательств</t>
  </si>
  <si>
    <t>Пособия по социальной помощи населению (1 ступень обучения)</t>
  </si>
  <si>
    <t>Пособия по социальной помощи населению (2 ступень обучения)</t>
  </si>
  <si>
    <t xml:space="preserve">Фонд оплаты труда в месяц , руб. </t>
  </si>
  <si>
    <t xml:space="preserve">директор </t>
  </si>
  <si>
    <t>Зам.директора по УВР</t>
  </si>
  <si>
    <t xml:space="preserve">заведующий библиотекой </t>
  </si>
  <si>
    <t xml:space="preserve">специалист по охране труда </t>
  </si>
  <si>
    <t xml:space="preserve">техник </t>
  </si>
  <si>
    <t xml:space="preserve">итого </t>
  </si>
  <si>
    <t xml:space="preserve">учителя </t>
  </si>
  <si>
    <t xml:space="preserve">воспитатель </t>
  </si>
  <si>
    <t xml:space="preserve">учитель -логопед </t>
  </si>
  <si>
    <t xml:space="preserve">педагог-психолог </t>
  </si>
  <si>
    <t xml:space="preserve">социальный педагог </t>
  </si>
  <si>
    <t xml:space="preserve">Педавгог дополнительного образования </t>
  </si>
  <si>
    <t xml:space="preserve">Преподователь организатор ОБЖ и ДП </t>
  </si>
  <si>
    <t xml:space="preserve">лаборант </t>
  </si>
  <si>
    <t xml:space="preserve">старший вожатый </t>
  </si>
  <si>
    <t>педагог -библиотекарь</t>
  </si>
  <si>
    <t>ауп</t>
  </si>
  <si>
    <t>пед</t>
  </si>
  <si>
    <t xml:space="preserve">Фонд материального обеспечения </t>
  </si>
  <si>
    <t xml:space="preserve">Код по бюджетной классификации Российской Федерации </t>
  </si>
  <si>
    <t xml:space="preserve">Аналитический код </t>
  </si>
  <si>
    <t xml:space="preserve">Остаток средств на начало текущего финансового года </t>
  </si>
  <si>
    <t xml:space="preserve">Остаток средств на конец текущего финансового года </t>
  </si>
  <si>
    <t xml:space="preserve">Комунальные услуги </t>
  </si>
  <si>
    <t xml:space="preserve">Содержание имущества </t>
  </si>
  <si>
    <t xml:space="preserve">Прочие работы и услуги </t>
  </si>
  <si>
    <t xml:space="preserve">Приобритение за счет ФМО </t>
  </si>
  <si>
    <t xml:space="preserve">из строки 2640 в том числе </t>
  </si>
  <si>
    <t xml:space="preserve">Приобритение основных средств </t>
  </si>
  <si>
    <t xml:space="preserve">11 группа </t>
  </si>
  <si>
    <t>Предоставление питания</t>
  </si>
  <si>
    <t>Реализация основных общеобразовательных программ начального общего образования,основного общего образования,среднего общего образования</t>
  </si>
  <si>
    <t xml:space="preserve"> Затраты на уплату налогов (на имущество организаций, замельного) (руб.)</t>
  </si>
  <si>
    <t xml:space="preserve">13гр </t>
  </si>
  <si>
    <t xml:space="preserve">13 группа </t>
  </si>
  <si>
    <r>
      <t xml:space="preserve">    «____» </t>
    </r>
    <r>
      <rPr>
        <u/>
        <sz val="14"/>
        <rFont val="Times New Roman"/>
        <family val="1"/>
        <charset val="204"/>
      </rPr>
      <t xml:space="preserve">декабря 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2019</t>
    </r>
    <r>
      <rPr>
        <sz val="14"/>
        <rFont val="Times New Roman"/>
        <family val="1"/>
        <charset val="204"/>
      </rPr>
      <t xml:space="preserve"> г.</t>
    </r>
  </si>
  <si>
    <r>
      <t xml:space="preserve">    (уполномоченное лицо учреждения)            </t>
    </r>
    <r>
      <rPr>
        <u/>
        <sz val="14"/>
        <rFont val="Times New Roman"/>
        <family val="1"/>
        <charset val="204"/>
      </rPr>
      <t xml:space="preserve">Директор   </t>
    </r>
    <r>
      <rPr>
        <sz val="14"/>
        <rFont val="Times New Roman"/>
        <family val="1"/>
        <charset val="204"/>
      </rPr>
      <t xml:space="preserve">                        _________                        </t>
    </r>
    <r>
      <rPr>
        <u/>
        <sz val="14"/>
        <rFont val="Times New Roman"/>
        <family val="1"/>
        <charset val="204"/>
      </rPr>
      <t xml:space="preserve"> Т.А. Андреева</t>
    </r>
  </si>
  <si>
    <r>
      <t xml:space="preserve">Исполнитель  </t>
    </r>
    <r>
      <rPr>
        <u/>
        <sz val="14"/>
        <rFont val="Times New Roman"/>
        <family val="1"/>
        <charset val="204"/>
      </rPr>
      <t>ведущий экономист</t>
    </r>
    <r>
      <rPr>
        <sz val="14"/>
        <rFont val="Times New Roman"/>
        <family val="1"/>
        <charset val="204"/>
      </rPr>
      <t xml:space="preserve">            </t>
    </r>
    <r>
      <rPr>
        <u/>
        <sz val="14"/>
        <rFont val="Times New Roman"/>
        <family val="1"/>
        <charset val="204"/>
      </rPr>
      <t xml:space="preserve">И.А.Бадретдинова  </t>
    </r>
    <r>
      <rPr>
        <sz val="14"/>
        <rFont val="Times New Roman"/>
        <family val="1"/>
        <charset val="204"/>
      </rPr>
      <t xml:space="preserve">                      </t>
    </r>
    <r>
      <rPr>
        <u/>
        <sz val="14"/>
        <rFont val="Times New Roman"/>
        <family val="1"/>
        <charset val="204"/>
      </rPr>
      <t>237-21-17</t>
    </r>
  </si>
  <si>
    <t xml:space="preserve">                              (должность)              (фамилия, инициалы)                        (телефон)</t>
  </si>
  <si>
    <t>Главный экономист Управления образования</t>
  </si>
  <si>
    <r>
      <t xml:space="preserve"> ___________________                                      </t>
    </r>
    <r>
      <rPr>
        <u/>
        <sz val="14"/>
        <rFont val="Times New Roman"/>
        <family val="1"/>
        <charset val="204"/>
      </rPr>
      <t xml:space="preserve"> Т.Н.Маркова</t>
    </r>
  </si>
  <si>
    <t>0276033557</t>
  </si>
  <si>
    <t>027601001</t>
  </si>
  <si>
    <t>на 2022 г. первый год планового периода</t>
  </si>
  <si>
    <t>на 2023 г. второй год планового периода</t>
  </si>
  <si>
    <t>на 2021 г. (текущий финансовый год)</t>
  </si>
  <si>
    <t>на 2022 г. (первый год планового периода)</t>
  </si>
  <si>
    <t>на 2023 г. (второй год планового периода)</t>
  </si>
  <si>
    <r>
      <t xml:space="preserve">    «____» </t>
    </r>
    <r>
      <rPr>
        <u/>
        <sz val="14"/>
        <rFont val="Times New Roman"/>
        <family val="1"/>
        <charset val="204"/>
      </rPr>
      <t xml:space="preserve">декабря 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2020</t>
    </r>
    <r>
      <rPr>
        <sz val="14"/>
        <rFont val="Times New Roman"/>
        <family val="1"/>
        <charset val="204"/>
      </rPr>
      <t xml:space="preserve"> г.</t>
    </r>
  </si>
  <si>
    <t>на 2021 год</t>
  </si>
  <si>
    <r>
      <t xml:space="preserve">Исполнитель  </t>
    </r>
    <r>
      <rPr>
        <u/>
        <sz val="14"/>
        <rFont val="Times New Roman"/>
        <family val="1"/>
        <charset val="204"/>
      </rPr>
      <t>ведущий экономист</t>
    </r>
    <r>
      <rPr>
        <sz val="14"/>
        <rFont val="Times New Roman"/>
        <family val="1"/>
        <charset val="204"/>
      </rPr>
      <t xml:space="preserve">            К.А. Идрисова                                 </t>
    </r>
    <r>
      <rPr>
        <u/>
        <sz val="14"/>
        <rFont val="Times New Roman"/>
        <family val="1"/>
        <charset val="204"/>
      </rPr>
      <t>237-21-17</t>
    </r>
  </si>
  <si>
    <t xml:space="preserve"> ___________________                                      А.А. Урманцева</t>
  </si>
  <si>
    <t>Социальные пособия и компенсации персоналу в денежной форме (первые три дня больничного, выходные пособия при увольнении)</t>
  </si>
  <si>
    <t>Услуги связи</t>
  </si>
  <si>
    <t>Протокол   №        от</t>
  </si>
  <si>
    <t>Средства городского бюджета на выполнение муниципального задания</t>
  </si>
  <si>
    <t>Средства республиканского бюджета на выполнение муниципального задания</t>
  </si>
  <si>
    <t>на выполнение муниципального задания</t>
  </si>
  <si>
    <t>Средства республиканского бюджета на иные цели</t>
  </si>
  <si>
    <t>на иные цели</t>
  </si>
  <si>
    <t>Средства федерального бюджета на иные цели (классное руководство)</t>
  </si>
  <si>
    <t>Средства городского бюджета на иные цели (трудовая занятость)</t>
  </si>
  <si>
    <t>Приобретение строительных материалов</t>
  </si>
  <si>
    <t>Приобретение прочих оборотных запасов</t>
  </si>
  <si>
    <t>Приобретение мат.запасов однократного применения</t>
  </si>
  <si>
    <t>План финансово-хозяйственной деятельности за  2021 год                                                                       (за 2021 год и плановый период 2022  и 2023  годов )</t>
  </si>
  <si>
    <t>за 2021 г.  финансовый год</t>
  </si>
  <si>
    <t>Код по бюджетной классификации Российской Федерации &lt;3&gt;</t>
  </si>
  <si>
    <t>Аналитический код &lt;4&gt;</t>
  </si>
  <si>
    <t>Остаток средств на начало текущего финансового года &lt;5&gt;</t>
  </si>
  <si>
    <t>Остаток средств на конец текущего финансового года &lt;5&gt;</t>
  </si>
  <si>
    <t>Транспортные услуги</t>
  </si>
  <si>
    <t>Коммунальные услуги</t>
  </si>
  <si>
    <t>Услуги по содержанию имущества</t>
  </si>
  <si>
    <t>Прочие работы и услуги</t>
  </si>
  <si>
    <t>Расходы по страхованию</t>
  </si>
  <si>
    <t xml:space="preserve">Услуги,работы для целей кап.вложений </t>
  </si>
  <si>
    <t>Приобретение основных средств</t>
  </si>
  <si>
    <t>Приобретение ГСМ</t>
  </si>
  <si>
    <t>Приобретение мягкого инвентаря</t>
  </si>
  <si>
    <t xml:space="preserve">Монтажные работы </t>
  </si>
  <si>
    <t>Раздел 1. Поступления и выплаты (внебюджет)</t>
  </si>
  <si>
    <t>Доходы от возмещений Фондом социального страхования Российской Федерации расходов</t>
  </si>
  <si>
    <t>Доходы от реализации активов (материальные запасы)</t>
  </si>
  <si>
    <t xml:space="preserve"> от «30» декабря 2021 г. </t>
  </si>
  <si>
    <t>1.4.1.</t>
  </si>
  <si>
    <r>
      <t xml:space="preserve">    «____» </t>
    </r>
    <r>
      <rPr>
        <u/>
        <sz val="14"/>
        <rFont val="Times New Roman"/>
        <family val="1"/>
        <charset val="204"/>
      </rPr>
      <t xml:space="preserve">декабря 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2021</t>
    </r>
    <r>
      <rPr>
        <sz val="14"/>
        <rFont val="Times New Roman"/>
        <family val="1"/>
        <charset val="204"/>
      </rPr>
      <t xml:space="preserve"> г.</t>
    </r>
  </si>
  <si>
    <r>
      <t xml:space="preserve">Исполнитель  </t>
    </r>
    <r>
      <rPr>
        <u/>
        <sz val="14"/>
        <rFont val="Times New Roman"/>
        <family val="1"/>
        <charset val="204"/>
      </rPr>
      <t>ведущий экономист</t>
    </r>
    <r>
      <rPr>
        <sz val="14"/>
        <rFont val="Times New Roman"/>
        <family val="1"/>
        <charset val="204"/>
      </rPr>
      <t xml:space="preserve">            </t>
    </r>
    <r>
      <rPr>
        <u/>
        <sz val="14"/>
        <rFont val="Times New Roman"/>
        <family val="1"/>
        <charset val="204"/>
      </rPr>
      <t>К.А. Идрисова</t>
    </r>
    <r>
      <rPr>
        <sz val="14"/>
        <rFont val="Times New Roman"/>
        <family val="1"/>
        <charset val="204"/>
      </rPr>
      <t xml:space="preserve">                    </t>
    </r>
    <r>
      <rPr>
        <u/>
        <sz val="14"/>
        <rFont val="Times New Roman"/>
        <family val="1"/>
        <charset val="204"/>
      </rPr>
      <t>237-21-17</t>
    </r>
  </si>
  <si>
    <r>
      <t xml:space="preserve"> ___________________                                      </t>
    </r>
    <r>
      <rPr>
        <u/>
        <sz val="14"/>
        <rFont val="Times New Roman"/>
        <family val="1"/>
        <charset val="204"/>
      </rPr>
      <t xml:space="preserve"> А.А. Урманцева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</si>
</sst>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</font>
    <font>
      <sz val="11"/>
      <name val="Times New Roman"/>
      <family val="1"/>
      <charset val="204"/>
    </font>
    <font>
      <u/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18"/>
      <name val="Times New Roman"/>
      <family val="1"/>
      <charset val="204"/>
    </font>
    <font>
      <sz val="14"/>
      <name val="Calibri"/>
      <family val="2"/>
      <charset val="204"/>
    </font>
    <font>
      <sz val="7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21" fillId="0" borderId="0" applyFont="0" applyFill="0" applyBorder="0" applyAlignment="0" applyProtection="0"/>
    <xf numFmtId="0" fontId="27" fillId="0" borderId="0"/>
  </cellStyleXfs>
  <cellXfs count="250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indent="10"/>
    </xf>
    <xf numFmtId="0" fontId="1" fillId="0" borderId="0" xfId="0" applyFont="1" applyAlignment="1">
      <alignment horizontal="left" vertical="center"/>
    </xf>
    <xf numFmtId="0" fontId="8" fillId="0" borderId="0" xfId="1" applyFont="1" applyAlignment="1" applyProtection="1">
      <alignment horizontal="center"/>
    </xf>
    <xf numFmtId="0" fontId="8" fillId="0" borderId="0" xfId="1" applyFont="1" applyAlignment="1" applyProtection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/>
    <xf numFmtId="0" fontId="11" fillId="0" borderId="0" xfId="0" applyFont="1" applyAlignment="1">
      <alignment horizontal="justify"/>
    </xf>
    <xf numFmtId="0" fontId="1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5" fillId="0" borderId="1" xfId="1" applyFont="1" applyBorder="1" applyAlignment="1" applyProtection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left" vertical="top" wrapText="1" indent="4"/>
    </xf>
    <xf numFmtId="0" fontId="11" fillId="0" borderId="1" xfId="0" applyFont="1" applyBorder="1" applyAlignment="1">
      <alignment horizontal="left" vertical="top" wrapText="1" indent="6"/>
    </xf>
    <xf numFmtId="0" fontId="15" fillId="0" borderId="1" xfId="1" applyFont="1" applyBorder="1" applyAlignment="1" applyProtection="1">
      <alignment horizontal="left" vertical="top" wrapText="1" indent="6"/>
    </xf>
    <xf numFmtId="0" fontId="15" fillId="0" borderId="1" xfId="1" applyFont="1" applyBorder="1" applyAlignment="1" applyProtection="1">
      <alignment horizontal="left" vertical="top" wrapText="1" indent="4"/>
    </xf>
    <xf numFmtId="0" fontId="11" fillId="0" borderId="1" xfId="0" applyFont="1" applyBorder="1" applyAlignment="1">
      <alignment vertical="top" wrapText="1"/>
    </xf>
    <xf numFmtId="0" fontId="18" fillId="0" borderId="1" xfId="1" applyFont="1" applyBorder="1" applyAlignment="1" applyProtection="1">
      <alignment horizontal="left" vertical="top" wrapText="1" indent="6"/>
    </xf>
    <xf numFmtId="0" fontId="1" fillId="0" borderId="0" xfId="0" applyFont="1" applyAlignment="1">
      <alignment horizontal="left" indent="2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13" fillId="0" borderId="1" xfId="1" applyFont="1" applyBorder="1" applyAlignment="1" applyProtection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43" fontId="2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4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3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3" fontId="0" fillId="0" borderId="1" xfId="2" applyFont="1" applyBorder="1" applyAlignment="1">
      <alignment horizontal="center" vertical="center"/>
    </xf>
    <xf numFmtId="43" fontId="23" fillId="0" borderId="1" xfId="2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43" fontId="4" fillId="0" borderId="1" xfId="2" applyFont="1" applyBorder="1" applyAlignment="1">
      <alignment horizontal="center" wrapText="1"/>
    </xf>
    <xf numFmtId="43" fontId="4" fillId="2" borderId="1" xfId="2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vertical="center" wrapText="1"/>
    </xf>
    <xf numFmtId="43" fontId="11" fillId="0" borderId="1" xfId="2" applyFont="1" applyBorder="1" applyAlignment="1">
      <alignment horizontal="center" vertical="center" wrapText="1"/>
    </xf>
    <xf numFmtId="43" fontId="11" fillId="0" borderId="1" xfId="2" applyFont="1" applyBorder="1" applyAlignment="1">
      <alignment wrapText="1"/>
    </xf>
    <xf numFmtId="43" fontId="11" fillId="0" borderId="1" xfId="2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43" fontId="11" fillId="0" borderId="1" xfId="2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3" fontId="11" fillId="0" borderId="1" xfId="2" applyFont="1" applyFill="1" applyBorder="1" applyAlignment="1">
      <alignment wrapText="1"/>
    </xf>
    <xf numFmtId="43" fontId="11" fillId="0" borderId="1" xfId="2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vertical="top" wrapText="1" readingOrder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43" fontId="11" fillId="0" borderId="1" xfId="2" applyFont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43" fontId="11" fillId="0" borderId="1" xfId="2" applyFont="1" applyFill="1" applyBorder="1" applyAlignment="1">
      <alignment wrapText="1"/>
    </xf>
    <xf numFmtId="43" fontId="30" fillId="0" borderId="1" xfId="2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43" fontId="11" fillId="0" borderId="1" xfId="2" applyFont="1" applyBorder="1" applyAlignment="1">
      <alignment wrapText="1"/>
    </xf>
    <xf numFmtId="43" fontId="11" fillId="0" borderId="1" xfId="2" applyFont="1" applyFill="1" applyBorder="1" applyAlignment="1">
      <alignment wrapText="1"/>
    </xf>
    <xf numFmtId="2" fontId="0" fillId="0" borderId="0" xfId="0" applyNumberFormat="1" applyFill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43" fontId="31" fillId="0" borderId="1" xfId="2" applyFont="1" applyBorder="1" applyAlignment="1">
      <alignment horizontal="center" vertical="center" wrapText="1"/>
    </xf>
    <xf numFmtId="43" fontId="11" fillId="0" borderId="1" xfId="2" applyFont="1" applyBorder="1"/>
    <xf numFmtId="43" fontId="16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 vertical="center" wrapText="1"/>
    </xf>
    <xf numFmtId="43" fontId="4" fillId="0" borderId="4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4" fillId="0" borderId="3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43" fontId="11" fillId="0" borderId="1" xfId="2" applyFont="1" applyBorder="1" applyAlignment="1">
      <alignment wrapText="1"/>
    </xf>
    <xf numFmtId="14" fontId="11" fillId="0" borderId="1" xfId="0" applyNumberFormat="1" applyFont="1" applyBorder="1" applyAlignment="1">
      <alignment horizontal="center" wrapText="1"/>
    </xf>
    <xf numFmtId="0" fontId="17" fillId="0" borderId="0" xfId="1" applyFont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2" fontId="0" fillId="0" borderId="4" xfId="0" applyNumberForma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/>
    </xf>
    <xf numFmtId="43" fontId="2" fillId="0" borderId="4" xfId="2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top" wrapText="1" readingOrder="1"/>
    </xf>
    <xf numFmtId="49" fontId="29" fillId="0" borderId="0" xfId="0" applyNumberFormat="1" applyFont="1" applyFill="1" applyBorder="1" applyAlignment="1" applyProtection="1">
      <alignment horizontal="center" vertical="top" wrapText="1" readingOrder="1"/>
    </xf>
    <xf numFmtId="0" fontId="11" fillId="0" borderId="0" xfId="0" applyFont="1" applyFill="1" applyBorder="1" applyAlignment="1">
      <alignment horizontal="center" vertical="center"/>
    </xf>
    <xf numFmtId="43" fontId="11" fillId="0" borderId="1" xfId="2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43" fontId="4" fillId="2" borderId="1" xfId="2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</cellXfs>
  <cellStyles count="4">
    <cellStyle name="Гиперссылка" xfId="1" builtinId="8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FF37134FA53EF84CFB8C456484DD62A4420BB46BBE6B93B9DC5783F5A394B82136748C4F5C9EF377BD868F2A13O2t6K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FF37134FA53EF84CFB8C456484DD62A4420BB46BBE6B93B9DC5783F5A394B82136748C4F5C9EF377BD868F2A13O2t6K" TargetMode="External"/><Relationship Id="rId1" Type="http://schemas.openxmlformats.org/officeDocument/2006/relationships/hyperlink" Target="consultantplus://offline/ref=FF37134FA53EF84CFB8C456484DD62A4420BB46BBE6B93B9DC5783F5A394B82136748C4F5C9EF377BD868F2A13O2t6K" TargetMode="External"/><Relationship Id="rId6" Type="http://schemas.openxmlformats.org/officeDocument/2006/relationships/hyperlink" Target="consultantplus://offline/ref=FF37134FA53EF84CFB8C456484DD62A44208BE69BF6E93B9DC5783F5A394B82136748C4F5C9EF377BD868F2A13O2t6K" TargetMode="External"/><Relationship Id="rId5" Type="http://schemas.openxmlformats.org/officeDocument/2006/relationships/hyperlink" Target="consultantplus://offline/ref=FF37134FA53EF84CFB8C456484DD62A44208BE69BF6E93B9DC5783F5A394B82136748C4F5C9EF377BD868F2A13O2t6K" TargetMode="External"/><Relationship Id="rId4" Type="http://schemas.openxmlformats.org/officeDocument/2006/relationships/hyperlink" Target="consultantplus://offline/ref=FF37134FA53EF84CFB8C456484DD62A4420BB46BBE6B93B9DC5783F5A394B82136748C4F5C9EF377BD868F2A13O2t6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FF37134FA53EF84CFB8C456484DD62A4420BB46BBE6B93B9DC5783F5A394B82136748C4F5C9EF377BD868F2A13O2t6K" TargetMode="External"/><Relationship Id="rId7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FF37134FA53EF84CFB8C456484DD62A4420BB46BBE6B93B9DC5783F5A394B82136748C4F5C9EF377BD868F2A13O2t6K" TargetMode="External"/><Relationship Id="rId1" Type="http://schemas.openxmlformats.org/officeDocument/2006/relationships/hyperlink" Target="consultantplus://offline/ref=FF37134FA53EF84CFB8C456484DD62A4420BB46BBE6B93B9DC5783F5A394B82136748C4F5C9EF377BD868F2A13O2t6K" TargetMode="External"/><Relationship Id="rId6" Type="http://schemas.openxmlformats.org/officeDocument/2006/relationships/hyperlink" Target="consultantplus://offline/ref=FF37134FA53EF84CFB8C456484DD62A44208BE69BF6E93B9DC5783F5A394B82136748C4F5C9EF377BD868F2A13O2t6K" TargetMode="External"/><Relationship Id="rId5" Type="http://schemas.openxmlformats.org/officeDocument/2006/relationships/hyperlink" Target="consultantplus://offline/ref=FF37134FA53EF84CFB8C456484DD62A44208BE69BF6E93B9DC5783F5A394B82136748C4F5C9EF377BD868F2A13O2t6K" TargetMode="External"/><Relationship Id="rId4" Type="http://schemas.openxmlformats.org/officeDocument/2006/relationships/hyperlink" Target="consultantplus://offline/ref=FF37134FA53EF84CFB8C456484DD62A4420BB46BBE6B93B9DC5783F5A394B82136748C4F5C9EF377BD868F2A13O2t6K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FF37134FA53EF84CFB8C456484DD62A4420BB46BBE6B93B9DC5783F5A394B82136748C4F5C9EF377BD868F2A13O2t6K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FF37134FA53EF84CFB8C456484DD62A4420BB46BBE6B93B9DC5783F5A394B82136748C4F5C9EF377BD868F2A13O2t6K" TargetMode="External"/><Relationship Id="rId1" Type="http://schemas.openxmlformats.org/officeDocument/2006/relationships/hyperlink" Target="consultantplus://offline/ref=FF37134FA53EF84CFB8C456484DD62A4420BB46BBE6B93B9DC5783F5A394B82136748C4F5C9EF377BD868F2A13O2t6K" TargetMode="External"/><Relationship Id="rId6" Type="http://schemas.openxmlformats.org/officeDocument/2006/relationships/hyperlink" Target="consultantplus://offline/ref=FF37134FA53EF84CFB8C456484DD62A44208BE69BF6E93B9DC5783F5A394B82136748C4F5C9EF377BD868F2A13O2t6K" TargetMode="External"/><Relationship Id="rId5" Type="http://schemas.openxmlformats.org/officeDocument/2006/relationships/hyperlink" Target="consultantplus://offline/ref=FF37134FA53EF84CFB8C456484DD62A44208BE69BF6E93B9DC5783F5A394B82136748C4F5C9EF377BD868F2A13O2t6K" TargetMode="External"/><Relationship Id="rId4" Type="http://schemas.openxmlformats.org/officeDocument/2006/relationships/hyperlink" Target="consultantplus://offline/ref=FF37134FA53EF84CFB8C456484DD62A4420BB46BBE6B93B9DC5783F5A394B82136748C4F5C9EF377BD868F2A13O2t6K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FF37134FA53EF84CFB8C456484DD62A4420BB46BBE6B93B9DC5783F5A394B82136748C4F5C9EF377BD868F2A13O2t6K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FF37134FA53EF84CFB8C456484DD62A4420BB46BBE6B93B9DC5783F5A394B82136748C4F5C9EF377BD868F2A13O2t6K" TargetMode="External"/><Relationship Id="rId1" Type="http://schemas.openxmlformats.org/officeDocument/2006/relationships/hyperlink" Target="consultantplus://offline/ref=FF37134FA53EF84CFB8C456484DD62A4420BB46BBE6B93B9DC5783F5A394B82136748C4F5C9EF377BD868F2A13O2t6K" TargetMode="External"/><Relationship Id="rId6" Type="http://schemas.openxmlformats.org/officeDocument/2006/relationships/hyperlink" Target="consultantplus://offline/ref=FF37134FA53EF84CFB8C456484DD62A44208BE69BF6E93B9DC5783F5A394B82136748C4F5C9EF377BD868F2A13O2t6K" TargetMode="External"/><Relationship Id="rId5" Type="http://schemas.openxmlformats.org/officeDocument/2006/relationships/hyperlink" Target="consultantplus://offline/ref=FF37134FA53EF84CFB8C456484DD62A44208BE69BF6E93B9DC5783F5A394B82136748C4F5C9EF377BD868F2A13O2t6K" TargetMode="External"/><Relationship Id="rId4" Type="http://schemas.openxmlformats.org/officeDocument/2006/relationships/hyperlink" Target="consultantplus://offline/ref=FF37134FA53EF84CFB8C456484DD62A4420BB46BBE6B93B9DC5783F5A394B82136748C4F5C9EF377BD868F2A13O2t6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topLeftCell="A7" zoomScale="60" workbookViewId="0">
      <selection activeCell="F15" sqref="F15:N17"/>
    </sheetView>
  </sheetViews>
  <sheetFormatPr defaultRowHeight="15"/>
  <cols>
    <col min="2" max="2" width="13" customWidth="1"/>
  </cols>
  <sheetData>
    <row r="1" spans="1:21" ht="18.75" hidden="1">
      <c r="A1" s="1"/>
      <c r="B1" s="2"/>
      <c r="C1" s="2"/>
      <c r="D1" s="2"/>
      <c r="E1" s="2"/>
      <c r="F1" s="2"/>
      <c r="G1" s="2"/>
      <c r="H1" s="2"/>
      <c r="I1" s="2"/>
      <c r="J1" s="2"/>
      <c r="K1" s="1" t="s">
        <v>0</v>
      </c>
      <c r="L1" s="2"/>
      <c r="M1" s="1" t="s">
        <v>0</v>
      </c>
      <c r="N1" s="2"/>
      <c r="O1" s="187" t="s">
        <v>20</v>
      </c>
      <c r="P1" s="187"/>
      <c r="Q1" s="187"/>
      <c r="R1" s="187"/>
      <c r="S1" s="187"/>
      <c r="T1" s="187"/>
    </row>
    <row r="2" spans="1:21" ht="18.75" hidden="1">
      <c r="A2" s="1"/>
      <c r="B2" s="2"/>
      <c r="C2" s="2"/>
      <c r="D2" s="2"/>
      <c r="E2" s="2"/>
      <c r="F2" s="2"/>
      <c r="G2" s="2"/>
      <c r="H2" s="2"/>
      <c r="I2" s="2"/>
      <c r="J2" s="2"/>
      <c r="K2" s="1" t="s">
        <v>1</v>
      </c>
      <c r="L2" s="2"/>
      <c r="M2" s="1" t="s">
        <v>1</v>
      </c>
      <c r="N2" s="2"/>
      <c r="O2" s="187" t="s">
        <v>21</v>
      </c>
      <c r="P2" s="187"/>
      <c r="Q2" s="187"/>
      <c r="R2" s="187"/>
      <c r="S2" s="187"/>
      <c r="T2" s="187"/>
    </row>
    <row r="3" spans="1:21" ht="18.75" hidden="1">
      <c r="A3" s="1"/>
      <c r="B3" s="2"/>
      <c r="C3" s="2"/>
      <c r="D3" s="2"/>
      <c r="E3" s="2"/>
      <c r="F3" s="2"/>
      <c r="G3" s="2"/>
      <c r="H3" s="2"/>
      <c r="I3" s="2"/>
      <c r="J3" s="2"/>
      <c r="K3" s="1" t="s">
        <v>2</v>
      </c>
      <c r="L3" s="2"/>
      <c r="M3" s="1" t="s">
        <v>2</v>
      </c>
      <c r="N3" s="2"/>
      <c r="O3" s="187" t="s">
        <v>22</v>
      </c>
      <c r="P3" s="187"/>
      <c r="Q3" s="187"/>
      <c r="R3" s="187"/>
      <c r="S3" s="187"/>
      <c r="T3" s="187"/>
    </row>
    <row r="4" spans="1:21" ht="36" hidden="1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 t="s">
        <v>3</v>
      </c>
      <c r="L4" s="2"/>
      <c r="M4" s="1" t="s">
        <v>3</v>
      </c>
      <c r="N4" s="2"/>
      <c r="O4" s="187" t="s">
        <v>23</v>
      </c>
      <c r="P4" s="187"/>
      <c r="Q4" s="187"/>
      <c r="R4" s="187"/>
      <c r="S4" s="187"/>
      <c r="T4" s="187"/>
    </row>
    <row r="5" spans="1:21" ht="18.75" hidden="1">
      <c r="A5" s="1"/>
      <c r="B5" s="2"/>
      <c r="C5" s="2"/>
      <c r="D5" s="2"/>
      <c r="E5" s="2"/>
      <c r="F5" s="2"/>
      <c r="G5" s="2"/>
      <c r="H5" s="2"/>
      <c r="I5" s="2"/>
      <c r="J5" s="2"/>
      <c r="K5" s="1" t="s">
        <v>4</v>
      </c>
      <c r="L5" s="2"/>
      <c r="M5" s="1" t="s">
        <v>4</v>
      </c>
      <c r="N5" s="2"/>
      <c r="O5" s="187" t="s">
        <v>24</v>
      </c>
      <c r="P5" s="187"/>
      <c r="Q5" s="187"/>
      <c r="R5" s="187"/>
      <c r="S5" s="187"/>
      <c r="T5" s="187"/>
    </row>
    <row r="6" spans="1:21" ht="18.75" hidden="1">
      <c r="A6" s="1"/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2"/>
      <c r="M6" s="1" t="s">
        <v>5</v>
      </c>
      <c r="N6" s="2"/>
      <c r="O6" s="188"/>
      <c r="P6" s="188"/>
      <c r="Q6" s="188"/>
      <c r="R6" s="188"/>
      <c r="S6" s="188"/>
      <c r="T6" s="188"/>
    </row>
    <row r="7" spans="1:21" ht="18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7"/>
      <c r="O7" s="7"/>
      <c r="P7" s="7"/>
      <c r="Q7" s="7"/>
      <c r="R7" s="7"/>
      <c r="S7" s="2"/>
      <c r="T7" s="2"/>
    </row>
    <row r="8" spans="1:21" ht="18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O8" s="57" t="s">
        <v>6</v>
      </c>
      <c r="P8" s="57"/>
      <c r="Q8" s="57"/>
      <c r="R8" s="57"/>
      <c r="S8" s="57"/>
    </row>
    <row r="9" spans="1:21" ht="18.75" customHeight="1">
      <c r="A9" s="191" t="s">
        <v>124</v>
      </c>
      <c r="B9" s="19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O9" s="12" t="s">
        <v>260</v>
      </c>
      <c r="P9" s="12"/>
      <c r="Q9" s="12"/>
      <c r="R9" s="12"/>
      <c r="S9" s="12"/>
    </row>
    <row r="10" spans="1:21" ht="18.75" customHeight="1">
      <c r="A10" s="56" t="s">
        <v>357</v>
      </c>
      <c r="B10" s="56"/>
      <c r="C10" s="56"/>
      <c r="D10" s="7"/>
      <c r="E10" s="7"/>
      <c r="F10" s="7"/>
      <c r="G10" s="7"/>
      <c r="H10" s="7"/>
      <c r="I10" s="7"/>
      <c r="J10" s="7"/>
      <c r="K10" s="7"/>
      <c r="L10" s="7"/>
      <c r="M10" s="7"/>
      <c r="O10" s="12" t="s">
        <v>261</v>
      </c>
      <c r="P10" s="12"/>
      <c r="Q10" s="12"/>
      <c r="R10" s="12"/>
      <c r="S10" s="12"/>
      <c r="T10" s="12"/>
      <c r="U10" s="12"/>
    </row>
    <row r="11" spans="1:21" ht="18.75" customHeight="1">
      <c r="A11" s="12" t="s">
        <v>262</v>
      </c>
      <c r="B11" s="12"/>
      <c r="C11" s="12"/>
      <c r="D11" s="12"/>
      <c r="E11" s="12"/>
      <c r="F11" s="12"/>
      <c r="G11" s="7"/>
      <c r="H11" s="7"/>
      <c r="I11" s="7"/>
      <c r="J11" s="7"/>
      <c r="K11" s="7"/>
      <c r="L11" s="7"/>
      <c r="M11" s="7"/>
      <c r="O11" s="12" t="s">
        <v>263</v>
      </c>
      <c r="P11" s="12"/>
      <c r="Q11" s="12"/>
      <c r="R11" s="12"/>
      <c r="S11" s="12"/>
      <c r="T11" s="12"/>
    </row>
    <row r="12" spans="1:21" ht="18.75" customHeight="1">
      <c r="A12" s="189" t="s">
        <v>264</v>
      </c>
      <c r="B12" s="189"/>
      <c r="C12" s="189"/>
      <c r="D12" s="189"/>
      <c r="E12" s="7"/>
      <c r="F12" s="7"/>
      <c r="G12" s="7"/>
      <c r="H12" s="7"/>
      <c r="I12" s="7"/>
      <c r="J12" s="7"/>
      <c r="K12" s="7"/>
      <c r="L12" s="7"/>
      <c r="M12" s="7"/>
      <c r="O12" s="9" t="s">
        <v>265</v>
      </c>
      <c r="P12" s="9"/>
      <c r="Q12" s="9"/>
      <c r="R12" s="9"/>
      <c r="S12" s="9"/>
      <c r="T12" s="9"/>
      <c r="U12" s="9"/>
    </row>
    <row r="13" spans="1:21" ht="18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O13" s="58" t="s">
        <v>266</v>
      </c>
      <c r="P13" s="58"/>
      <c r="Q13" s="58"/>
      <c r="R13" s="58"/>
      <c r="S13" s="58"/>
      <c r="T13" s="55"/>
      <c r="U13" s="12"/>
    </row>
    <row r="14" spans="1:21" ht="18.75">
      <c r="A14" s="7" t="s">
        <v>267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O14" s="7"/>
      <c r="Q14" s="55" t="s">
        <v>268</v>
      </c>
      <c r="R14" s="55"/>
      <c r="S14" s="55"/>
      <c r="T14" s="55"/>
    </row>
    <row r="15" spans="1:21" ht="18.75">
      <c r="A15" s="2"/>
      <c r="F15" s="190" t="s">
        <v>368</v>
      </c>
      <c r="G15" s="190"/>
      <c r="H15" s="190"/>
      <c r="I15" s="190"/>
      <c r="J15" s="190"/>
      <c r="K15" s="190"/>
      <c r="L15" s="190"/>
      <c r="M15" s="190"/>
      <c r="N15" s="190"/>
    </row>
    <row r="16" spans="1:21" ht="18.75">
      <c r="A16" s="10"/>
      <c r="B16" s="2"/>
      <c r="C16" s="2"/>
      <c r="D16" s="2"/>
      <c r="E16" s="2"/>
      <c r="F16" s="190"/>
      <c r="G16" s="190"/>
      <c r="H16" s="190"/>
      <c r="I16" s="190"/>
      <c r="J16" s="190"/>
      <c r="K16" s="190"/>
      <c r="L16" s="190"/>
      <c r="M16" s="190"/>
      <c r="N16" s="190"/>
      <c r="O16" s="2"/>
      <c r="P16" s="2"/>
      <c r="Q16" s="2"/>
      <c r="R16" s="2"/>
      <c r="S16" s="2"/>
      <c r="T16" s="2"/>
    </row>
    <row r="17" spans="1:22" ht="18.75">
      <c r="A17" s="2"/>
      <c r="B17" s="2"/>
      <c r="C17" s="2"/>
      <c r="D17" s="2"/>
      <c r="E17" s="2"/>
      <c r="F17" s="190"/>
      <c r="G17" s="190"/>
      <c r="H17" s="190"/>
      <c r="I17" s="190"/>
      <c r="J17" s="190"/>
      <c r="K17" s="190"/>
      <c r="L17" s="190"/>
      <c r="M17" s="190"/>
      <c r="N17" s="190"/>
      <c r="O17" s="2"/>
      <c r="P17" s="2"/>
      <c r="Q17" s="2"/>
      <c r="R17" s="2"/>
      <c r="S17" s="2"/>
      <c r="T17" s="2"/>
    </row>
    <row r="18" spans="1:22" ht="18.75">
      <c r="A18" s="2" t="s">
        <v>10</v>
      </c>
      <c r="B18" s="2"/>
      <c r="C18" s="2"/>
      <c r="D18" s="2"/>
      <c r="E18" s="2"/>
      <c r="F18" s="188" t="s">
        <v>387</v>
      </c>
      <c r="G18" s="188"/>
      <c r="H18" s="188"/>
      <c r="I18" s="188"/>
      <c r="J18" s="188"/>
      <c r="K18" s="188"/>
      <c r="L18" s="188"/>
      <c r="M18" s="188"/>
      <c r="N18" s="188"/>
      <c r="O18" s="2"/>
      <c r="P18" s="2"/>
      <c r="Q18" s="2"/>
      <c r="R18" s="2"/>
      <c r="S18" s="2"/>
      <c r="T18" s="2"/>
    </row>
    <row r="19" spans="1:22" ht="18.7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95" t="s">
        <v>9</v>
      </c>
      <c r="T19" s="195"/>
      <c r="U19" s="195"/>
      <c r="V19" s="195"/>
    </row>
    <row r="20" spans="1:22" ht="18.7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7" t="s">
        <v>18</v>
      </c>
      <c r="R20" s="196"/>
      <c r="S20" s="197">
        <v>44560</v>
      </c>
      <c r="T20" s="186"/>
      <c r="U20" s="186"/>
      <c r="V20" s="186"/>
    </row>
    <row r="21" spans="1:22" ht="36" customHeight="1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87"/>
      <c r="R21" s="196"/>
      <c r="S21" s="186"/>
      <c r="T21" s="186"/>
      <c r="U21" s="186"/>
      <c r="V21" s="186"/>
    </row>
    <row r="22" spans="1:22" ht="18.7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92" t="s">
        <v>19</v>
      </c>
      <c r="R22" s="193"/>
      <c r="S22" s="186"/>
      <c r="T22" s="186"/>
      <c r="U22" s="186"/>
      <c r="V22" s="186"/>
    </row>
    <row r="23" spans="1:22" ht="36.75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92"/>
      <c r="R23" s="193"/>
      <c r="S23" s="186"/>
      <c r="T23" s="186"/>
      <c r="U23" s="186"/>
      <c r="V23" s="186"/>
    </row>
    <row r="24" spans="1:22" ht="18.7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 t="s">
        <v>11</v>
      </c>
      <c r="R24" s="2"/>
      <c r="S24" s="194" t="s">
        <v>344</v>
      </c>
      <c r="T24" s="194"/>
      <c r="U24" s="194"/>
      <c r="V24" s="194"/>
    </row>
    <row r="25" spans="1:22" ht="18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 t="s">
        <v>12</v>
      </c>
      <c r="R25" s="2"/>
      <c r="S25" s="194" t="s">
        <v>345</v>
      </c>
      <c r="T25" s="194"/>
      <c r="U25" s="194"/>
      <c r="V25" s="194"/>
    </row>
    <row r="26" spans="1:22" ht="18.75">
      <c r="A26" s="2"/>
      <c r="B26" s="2"/>
      <c r="C26" s="2"/>
      <c r="D26" s="2"/>
      <c r="E26" s="2"/>
      <c r="F26" s="2"/>
      <c r="G26" s="2"/>
      <c r="H26" s="11"/>
      <c r="I26" s="2"/>
      <c r="J26" s="2"/>
      <c r="K26" s="2"/>
      <c r="L26" s="2"/>
      <c r="M26" s="2"/>
      <c r="N26" s="2"/>
      <c r="O26" s="2"/>
      <c r="P26" s="2"/>
      <c r="Q26" s="2" t="s">
        <v>13</v>
      </c>
      <c r="R26" s="2"/>
      <c r="S26" s="186" t="s">
        <v>14</v>
      </c>
      <c r="T26" s="186"/>
      <c r="U26" s="186"/>
      <c r="V26" s="186"/>
    </row>
    <row r="27" spans="1:22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ht="18.75">
      <c r="A28" s="2"/>
      <c r="B28" s="2"/>
      <c r="C28" s="2"/>
      <c r="D28" s="2"/>
      <c r="E28" s="2"/>
      <c r="F28" s="189" t="s">
        <v>25</v>
      </c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2" ht="18.75">
      <c r="A29" s="2" t="s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ht="18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ht="39.75" customHeight="1">
      <c r="A31" s="2"/>
      <c r="B31" s="2"/>
      <c r="C31" s="2"/>
      <c r="D31" s="190" t="s">
        <v>258</v>
      </c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</row>
    <row r="32" spans="1:22" ht="18.75">
      <c r="A32" s="2" t="s">
        <v>257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2" ht="18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2" ht="18.75" customHeight="1">
      <c r="A34" s="187" t="s">
        <v>259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</row>
    <row r="35" spans="1:22" ht="18.75" customHeigh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</row>
    <row r="36" spans="1:22" ht="18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ht="18.75">
      <c r="A37" s="2" t="s">
        <v>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9" spans="1:22" ht="15.75">
      <c r="A39" s="6"/>
    </row>
  </sheetData>
  <mergeCells count="23">
    <mergeCell ref="F28:T28"/>
    <mergeCell ref="D31:T31"/>
    <mergeCell ref="A34:V35"/>
    <mergeCell ref="A9:B9"/>
    <mergeCell ref="A12:D12"/>
    <mergeCell ref="Q22:R23"/>
    <mergeCell ref="S22:V22"/>
    <mergeCell ref="S23:V23"/>
    <mergeCell ref="S24:V24"/>
    <mergeCell ref="S25:V25"/>
    <mergeCell ref="S26:V26"/>
    <mergeCell ref="F15:N17"/>
    <mergeCell ref="F18:N18"/>
    <mergeCell ref="S19:V19"/>
    <mergeCell ref="Q20:R21"/>
    <mergeCell ref="S20:V20"/>
    <mergeCell ref="S21:V21"/>
    <mergeCell ref="O1:T1"/>
    <mergeCell ref="O2:T2"/>
    <mergeCell ref="O3:T3"/>
    <mergeCell ref="O4:T4"/>
    <mergeCell ref="O5:T5"/>
    <mergeCell ref="O6:T6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63"/>
  <sheetViews>
    <sheetView view="pageBreakPreview" zoomScale="60" workbookViewId="0">
      <selection activeCell="E7" sqref="E7:G35"/>
    </sheetView>
  </sheetViews>
  <sheetFormatPr defaultColWidth="9.140625" defaultRowHeight="18.75"/>
  <cols>
    <col min="1" max="1" width="17.140625" style="14" customWidth="1"/>
    <col min="2" max="2" width="74.85546875" style="14" customWidth="1"/>
    <col min="3" max="3" width="13.85546875" style="14" customWidth="1"/>
    <col min="4" max="4" width="14.140625" style="14" customWidth="1"/>
    <col min="5" max="8" width="27.140625" style="14" customWidth="1"/>
    <col min="9" max="16384" width="9.140625" style="14"/>
  </cols>
  <sheetData>
    <row r="1" spans="1:8" ht="23.25">
      <c r="A1" s="223" t="s">
        <v>89</v>
      </c>
      <c r="B1" s="223"/>
      <c r="C1" s="223"/>
      <c r="D1" s="223"/>
      <c r="E1" s="223"/>
      <c r="F1" s="223"/>
      <c r="G1" s="223"/>
      <c r="H1" s="223"/>
    </row>
    <row r="2" spans="1:8">
      <c r="A2" s="13"/>
    </row>
    <row r="3" spans="1:8">
      <c r="A3" s="13"/>
    </row>
    <row r="4" spans="1:8">
      <c r="A4" s="224" t="s">
        <v>90</v>
      </c>
      <c r="B4" s="224" t="s">
        <v>27</v>
      </c>
      <c r="C4" s="224" t="s">
        <v>91</v>
      </c>
      <c r="D4" s="224" t="s">
        <v>92</v>
      </c>
      <c r="E4" s="224" t="s">
        <v>29</v>
      </c>
      <c r="F4" s="224"/>
      <c r="G4" s="224"/>
      <c r="H4" s="224"/>
    </row>
    <row r="5" spans="1:8" ht="56.25">
      <c r="A5" s="224"/>
      <c r="B5" s="224"/>
      <c r="C5" s="224"/>
      <c r="D5" s="224"/>
      <c r="E5" s="100" t="s">
        <v>348</v>
      </c>
      <c r="F5" s="100" t="s">
        <v>349</v>
      </c>
      <c r="G5" s="100" t="s">
        <v>350</v>
      </c>
      <c r="H5" s="17" t="s">
        <v>30</v>
      </c>
    </row>
    <row r="6" spans="1:8">
      <c r="A6" s="18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8">
      <c r="A7" s="18">
        <v>1</v>
      </c>
      <c r="B7" s="19" t="s">
        <v>93</v>
      </c>
      <c r="C7" s="18">
        <v>26000</v>
      </c>
      <c r="D7" s="18" t="s">
        <v>31</v>
      </c>
      <c r="E7" s="117">
        <f>E8+E10+E11+E12</f>
        <v>4746100</v>
      </c>
      <c r="F7" s="117">
        <f>F8+F10+F11+F12</f>
        <v>4479500</v>
      </c>
      <c r="G7" s="117">
        <f>G8+G10+G11+G12</f>
        <v>4479500</v>
      </c>
      <c r="H7" s="20"/>
    </row>
    <row r="8" spans="1:8">
      <c r="A8" s="220" t="s">
        <v>94</v>
      </c>
      <c r="B8" s="21" t="s">
        <v>33</v>
      </c>
      <c r="C8" s="220">
        <v>26100</v>
      </c>
      <c r="D8" s="220" t="s">
        <v>31</v>
      </c>
      <c r="E8" s="221"/>
      <c r="F8" s="221"/>
      <c r="G8" s="221"/>
      <c r="H8" s="219"/>
    </row>
    <row r="9" spans="1:8" ht="178.5" customHeight="1">
      <c r="A9" s="220"/>
      <c r="B9" s="21" t="s">
        <v>130</v>
      </c>
      <c r="C9" s="220"/>
      <c r="D9" s="220"/>
      <c r="E9" s="221"/>
      <c r="F9" s="221"/>
      <c r="G9" s="221"/>
      <c r="H9" s="219"/>
    </row>
    <row r="10" spans="1:8" ht="75">
      <c r="A10" s="18" t="s">
        <v>95</v>
      </c>
      <c r="B10" s="21" t="s">
        <v>131</v>
      </c>
      <c r="C10" s="18">
        <v>26200</v>
      </c>
      <c r="D10" s="18" t="s">
        <v>31</v>
      </c>
      <c r="E10" s="118"/>
      <c r="F10" s="118"/>
      <c r="G10" s="118"/>
      <c r="H10" s="20"/>
    </row>
    <row r="11" spans="1:8" ht="75">
      <c r="A11" s="18" t="s">
        <v>96</v>
      </c>
      <c r="B11" s="21" t="s">
        <v>132</v>
      </c>
      <c r="C11" s="18">
        <v>26300</v>
      </c>
      <c r="D11" s="18" t="s">
        <v>31</v>
      </c>
      <c r="E11" s="118"/>
      <c r="F11" s="118"/>
      <c r="G11" s="118"/>
      <c r="H11" s="20"/>
    </row>
    <row r="12" spans="1:8" ht="75">
      <c r="A12" s="18" t="s">
        <v>97</v>
      </c>
      <c r="B12" s="21" t="s">
        <v>133</v>
      </c>
      <c r="C12" s="18">
        <v>26400</v>
      </c>
      <c r="D12" s="18" t="s">
        <v>31</v>
      </c>
      <c r="E12" s="118">
        <f>E13</f>
        <v>4746100</v>
      </c>
      <c r="F12" s="118">
        <f>F13</f>
        <v>4479500</v>
      </c>
      <c r="G12" s="118">
        <f>G13</f>
        <v>4479500</v>
      </c>
      <c r="H12" s="20"/>
    </row>
    <row r="13" spans="1:8">
      <c r="A13" s="222">
        <v>36982</v>
      </c>
      <c r="B13" s="22" t="s">
        <v>33</v>
      </c>
      <c r="C13" s="220">
        <v>26410</v>
      </c>
      <c r="D13" s="220" t="s">
        <v>31</v>
      </c>
      <c r="E13" s="221">
        <f>E15+E17</f>
        <v>4746100</v>
      </c>
      <c r="F13" s="221">
        <f>F15+F17</f>
        <v>4479500</v>
      </c>
      <c r="G13" s="221">
        <f>G15+G17</f>
        <v>4479500</v>
      </c>
      <c r="H13" s="219"/>
    </row>
    <row r="14" spans="1:8" ht="37.5">
      <c r="A14" s="222"/>
      <c r="B14" s="22" t="s">
        <v>98</v>
      </c>
      <c r="C14" s="220"/>
      <c r="D14" s="220"/>
      <c r="E14" s="221"/>
      <c r="F14" s="221"/>
      <c r="G14" s="221"/>
      <c r="H14" s="219"/>
    </row>
    <row r="15" spans="1:8">
      <c r="A15" s="220" t="s">
        <v>99</v>
      </c>
      <c r="B15" s="23" t="s">
        <v>33</v>
      </c>
      <c r="C15" s="220">
        <v>26411</v>
      </c>
      <c r="D15" s="220" t="s">
        <v>31</v>
      </c>
      <c r="E15" s="221"/>
      <c r="F15" s="221"/>
      <c r="G15" s="221"/>
      <c r="H15" s="219"/>
    </row>
    <row r="16" spans="1:8">
      <c r="A16" s="220"/>
      <c r="B16" s="24" t="s">
        <v>100</v>
      </c>
      <c r="C16" s="220"/>
      <c r="D16" s="220"/>
      <c r="E16" s="221"/>
      <c r="F16" s="221"/>
      <c r="G16" s="221"/>
      <c r="H16" s="219"/>
    </row>
    <row r="17" spans="1:8" ht="37.5">
      <c r="A17" s="18" t="s">
        <v>101</v>
      </c>
      <c r="B17" s="23" t="s">
        <v>127</v>
      </c>
      <c r="C17" s="18">
        <v>26412</v>
      </c>
      <c r="D17" s="18" t="s">
        <v>31</v>
      </c>
      <c r="E17" s="118">
        <v>4746100</v>
      </c>
      <c r="F17" s="118">
        <v>4479500</v>
      </c>
      <c r="G17" s="118">
        <v>4479500</v>
      </c>
      <c r="H17" s="20"/>
    </row>
    <row r="18" spans="1:8" ht="37.5">
      <c r="A18" s="18" t="s">
        <v>102</v>
      </c>
      <c r="B18" s="22" t="s">
        <v>103</v>
      </c>
      <c r="C18" s="18">
        <v>26420</v>
      </c>
      <c r="D18" s="18" t="s">
        <v>31</v>
      </c>
      <c r="E18" s="118"/>
      <c r="F18" s="118"/>
      <c r="G18" s="118"/>
      <c r="H18" s="20"/>
    </row>
    <row r="19" spans="1:8">
      <c r="A19" s="220" t="s">
        <v>104</v>
      </c>
      <c r="B19" s="23" t="s">
        <v>33</v>
      </c>
      <c r="C19" s="220">
        <v>26421</v>
      </c>
      <c r="D19" s="220" t="s">
        <v>31</v>
      </c>
      <c r="E19" s="221"/>
      <c r="F19" s="221"/>
      <c r="G19" s="221"/>
      <c r="H19" s="219"/>
    </row>
    <row r="20" spans="1:8">
      <c r="A20" s="220"/>
      <c r="B20" s="24" t="s">
        <v>100</v>
      </c>
      <c r="C20" s="220"/>
      <c r="D20" s="220"/>
      <c r="E20" s="221"/>
      <c r="F20" s="221"/>
      <c r="G20" s="221"/>
      <c r="H20" s="219"/>
    </row>
    <row r="21" spans="1:8" ht="37.5">
      <c r="A21" s="18" t="s">
        <v>105</v>
      </c>
      <c r="B21" s="23" t="s">
        <v>127</v>
      </c>
      <c r="C21" s="18">
        <v>26422</v>
      </c>
      <c r="D21" s="18" t="s">
        <v>31</v>
      </c>
      <c r="E21" s="118"/>
      <c r="F21" s="118"/>
      <c r="G21" s="118"/>
      <c r="H21" s="20"/>
    </row>
    <row r="22" spans="1:8" ht="37.5">
      <c r="A22" s="18" t="s">
        <v>106</v>
      </c>
      <c r="B22" s="25" t="s">
        <v>107</v>
      </c>
      <c r="C22" s="18">
        <v>26430</v>
      </c>
      <c r="D22" s="18" t="s">
        <v>31</v>
      </c>
      <c r="E22" s="118"/>
      <c r="F22" s="118"/>
      <c r="G22" s="118"/>
      <c r="H22" s="20"/>
    </row>
    <row r="23" spans="1:8" ht="37.5">
      <c r="A23" s="18" t="s">
        <v>108</v>
      </c>
      <c r="B23" s="22" t="s">
        <v>109</v>
      </c>
      <c r="C23" s="18">
        <v>26440</v>
      </c>
      <c r="D23" s="18" t="s">
        <v>31</v>
      </c>
      <c r="E23" s="118"/>
      <c r="F23" s="118"/>
      <c r="G23" s="118"/>
      <c r="H23" s="20"/>
    </row>
    <row r="24" spans="1:8">
      <c r="A24" s="220" t="s">
        <v>110</v>
      </c>
      <c r="B24" s="23" t="s">
        <v>33</v>
      </c>
      <c r="C24" s="220">
        <v>26441</v>
      </c>
      <c r="D24" s="220" t="s">
        <v>31</v>
      </c>
      <c r="E24" s="221"/>
      <c r="F24" s="221"/>
      <c r="G24" s="221"/>
      <c r="H24" s="219"/>
    </row>
    <row r="25" spans="1:8">
      <c r="A25" s="220"/>
      <c r="B25" s="24" t="s">
        <v>111</v>
      </c>
      <c r="C25" s="220"/>
      <c r="D25" s="220"/>
      <c r="E25" s="221"/>
      <c r="F25" s="221"/>
      <c r="G25" s="221"/>
      <c r="H25" s="219"/>
    </row>
    <row r="26" spans="1:8" ht="37.5">
      <c r="A26" s="18" t="s">
        <v>112</v>
      </c>
      <c r="B26" s="23" t="s">
        <v>128</v>
      </c>
      <c r="C26" s="18">
        <v>26442</v>
      </c>
      <c r="D26" s="18" t="s">
        <v>31</v>
      </c>
      <c r="E26" s="118"/>
      <c r="F26" s="118"/>
      <c r="G26" s="118"/>
      <c r="H26" s="20"/>
    </row>
    <row r="27" spans="1:8">
      <c r="A27" s="18" t="s">
        <v>113</v>
      </c>
      <c r="B27" s="22" t="s">
        <v>114</v>
      </c>
      <c r="C27" s="18">
        <v>26450</v>
      </c>
      <c r="D27" s="18" t="s">
        <v>31</v>
      </c>
      <c r="E27" s="118"/>
      <c r="F27" s="118"/>
      <c r="G27" s="118"/>
      <c r="H27" s="20"/>
    </row>
    <row r="28" spans="1:8">
      <c r="A28" s="220" t="s">
        <v>115</v>
      </c>
      <c r="B28" s="23" t="s">
        <v>33</v>
      </c>
      <c r="C28" s="220">
        <v>26451</v>
      </c>
      <c r="D28" s="220" t="s">
        <v>31</v>
      </c>
      <c r="E28" s="221"/>
      <c r="F28" s="221"/>
      <c r="G28" s="221"/>
      <c r="H28" s="219"/>
    </row>
    <row r="29" spans="1:8">
      <c r="A29" s="220"/>
      <c r="B29" s="27" t="s">
        <v>100</v>
      </c>
      <c r="C29" s="220"/>
      <c r="D29" s="220"/>
      <c r="E29" s="221"/>
      <c r="F29" s="221"/>
      <c r="G29" s="221"/>
      <c r="H29" s="219"/>
    </row>
    <row r="30" spans="1:8">
      <c r="A30" s="18" t="s">
        <v>116</v>
      </c>
      <c r="B30" s="27" t="s">
        <v>117</v>
      </c>
      <c r="C30" s="18">
        <v>26452</v>
      </c>
      <c r="D30" s="18" t="s">
        <v>31</v>
      </c>
      <c r="E30" s="118"/>
      <c r="F30" s="118"/>
      <c r="G30" s="118"/>
      <c r="H30" s="20"/>
    </row>
    <row r="31" spans="1:8" ht="75">
      <c r="A31" s="18" t="s">
        <v>118</v>
      </c>
      <c r="B31" s="26" t="s">
        <v>129</v>
      </c>
      <c r="C31" s="18">
        <v>26500</v>
      </c>
      <c r="D31" s="18" t="s">
        <v>31</v>
      </c>
      <c r="E31" s="118"/>
      <c r="F31" s="118"/>
      <c r="G31" s="118"/>
      <c r="H31" s="20"/>
    </row>
    <row r="32" spans="1:8">
      <c r="A32" s="20"/>
      <c r="B32" s="17" t="s">
        <v>119</v>
      </c>
      <c r="C32" s="17">
        <v>26510</v>
      </c>
      <c r="D32" s="17"/>
      <c r="E32" s="119"/>
      <c r="F32" s="119"/>
      <c r="G32" s="119"/>
      <c r="H32" s="17"/>
    </row>
    <row r="33" spans="1:8">
      <c r="A33" s="20"/>
      <c r="B33" s="17"/>
      <c r="C33" s="17"/>
      <c r="D33" s="17"/>
      <c r="E33" s="119"/>
      <c r="F33" s="119"/>
      <c r="G33" s="119"/>
      <c r="H33" s="17"/>
    </row>
    <row r="34" spans="1:8" ht="75">
      <c r="A34" s="18" t="s">
        <v>120</v>
      </c>
      <c r="B34" s="19" t="s">
        <v>121</v>
      </c>
      <c r="C34" s="18">
        <v>26600</v>
      </c>
      <c r="D34" s="18" t="s">
        <v>31</v>
      </c>
      <c r="E34" s="118">
        <f>E7</f>
        <v>4746100</v>
      </c>
      <c r="F34" s="118">
        <f>F7</f>
        <v>4479500</v>
      </c>
      <c r="G34" s="118">
        <f>G7</f>
        <v>4479500</v>
      </c>
      <c r="H34" s="20"/>
    </row>
    <row r="35" spans="1:8">
      <c r="A35" s="20"/>
      <c r="B35" s="17" t="s">
        <v>119</v>
      </c>
      <c r="C35" s="17">
        <v>26610</v>
      </c>
      <c r="D35" s="17"/>
      <c r="E35" s="119"/>
      <c r="F35" s="119"/>
      <c r="G35" s="119"/>
      <c r="H35" s="17"/>
    </row>
    <row r="36" spans="1:8">
      <c r="A36" s="20"/>
      <c r="B36" s="17"/>
      <c r="C36" s="17"/>
      <c r="D36" s="17"/>
      <c r="E36" s="17"/>
      <c r="F36" s="17"/>
      <c r="G36" s="17"/>
      <c r="H36" s="17"/>
    </row>
    <row r="37" spans="1:8">
      <c r="A37" s="15"/>
    </row>
    <row r="38" spans="1:8" s="16" customFormat="1" hidden="1">
      <c r="A38" s="216" t="s">
        <v>122</v>
      </c>
      <c r="B38" s="216"/>
      <c r="C38" s="216"/>
      <c r="D38" s="216"/>
      <c r="E38" s="216"/>
      <c r="F38" s="216"/>
      <c r="G38" s="216"/>
      <c r="H38" s="216"/>
    </row>
    <row r="39" spans="1:8" s="16" customFormat="1" hidden="1">
      <c r="A39" s="216" t="s">
        <v>339</v>
      </c>
      <c r="B39" s="216"/>
      <c r="C39" s="216"/>
      <c r="D39" s="216"/>
      <c r="E39" s="216"/>
      <c r="F39" s="216"/>
      <c r="G39" s="216"/>
      <c r="H39" s="216"/>
    </row>
    <row r="40" spans="1:8" s="16" customFormat="1" hidden="1">
      <c r="A40" s="216" t="s">
        <v>123</v>
      </c>
      <c r="B40" s="216"/>
      <c r="C40" s="216"/>
      <c r="D40" s="216"/>
      <c r="E40" s="216"/>
      <c r="F40" s="216"/>
      <c r="G40" s="216"/>
      <c r="H40" s="216"/>
    </row>
    <row r="41" spans="1:8" s="16" customFormat="1" hidden="1">
      <c r="A41" s="94"/>
      <c r="B41" s="94"/>
      <c r="C41" s="94"/>
      <c r="D41" s="94"/>
      <c r="E41" s="94"/>
      <c r="F41" s="94"/>
      <c r="G41" s="94"/>
      <c r="H41" s="94"/>
    </row>
    <row r="42" spans="1:8" s="16" customFormat="1" hidden="1">
      <c r="A42" s="216" t="s">
        <v>340</v>
      </c>
      <c r="B42" s="216"/>
      <c r="C42" s="216"/>
      <c r="D42" s="216"/>
      <c r="E42" s="216"/>
      <c r="F42" s="216"/>
      <c r="G42" s="216"/>
      <c r="H42" s="216"/>
    </row>
    <row r="43" spans="1:8" s="16" customFormat="1" hidden="1">
      <c r="A43" s="216" t="s">
        <v>341</v>
      </c>
      <c r="B43" s="216"/>
      <c r="C43" s="216"/>
      <c r="D43" s="216"/>
      <c r="E43" s="216"/>
      <c r="F43" s="216"/>
      <c r="G43" s="216"/>
      <c r="H43" s="216"/>
    </row>
    <row r="44" spans="1:8" s="16" customFormat="1" hidden="1">
      <c r="A44" s="95"/>
    </row>
    <row r="45" spans="1:8" s="16" customFormat="1" hidden="1">
      <c r="A45" s="95"/>
    </row>
    <row r="46" spans="1:8" s="16" customFormat="1" hidden="1">
      <c r="A46" s="216" t="s">
        <v>338</v>
      </c>
      <c r="B46" s="216"/>
      <c r="C46" s="216"/>
      <c r="D46" s="216"/>
      <c r="E46" s="216"/>
      <c r="F46" s="216"/>
      <c r="G46" s="216"/>
      <c r="H46" s="216"/>
    </row>
    <row r="47" spans="1:8" s="16" customFormat="1" hidden="1">
      <c r="A47" s="95"/>
    </row>
    <row r="48" spans="1:8" s="16" customFormat="1" hidden="1">
      <c r="A48" s="216" t="s">
        <v>124</v>
      </c>
      <c r="B48" s="216"/>
      <c r="C48" s="216"/>
      <c r="D48" s="216"/>
      <c r="E48" s="216"/>
      <c r="F48" s="216"/>
      <c r="G48" s="216"/>
      <c r="H48" s="216"/>
    </row>
    <row r="49" spans="1:8" s="16" customFormat="1" hidden="1">
      <c r="A49" s="95"/>
      <c r="B49" s="95"/>
      <c r="C49" s="95"/>
      <c r="D49" s="95"/>
      <c r="E49" s="95"/>
      <c r="F49" s="95"/>
      <c r="G49" s="95"/>
      <c r="H49" s="95"/>
    </row>
    <row r="50" spans="1:8" s="16" customFormat="1" hidden="1">
      <c r="A50" s="218" t="s">
        <v>342</v>
      </c>
      <c r="B50" s="216"/>
      <c r="C50" s="216"/>
      <c r="D50" s="216"/>
      <c r="E50" s="216"/>
      <c r="F50" s="216"/>
      <c r="G50" s="216"/>
      <c r="H50" s="216"/>
    </row>
    <row r="51" spans="1:8" s="16" customFormat="1" hidden="1">
      <c r="A51" s="216" t="s">
        <v>125</v>
      </c>
      <c r="B51" s="216"/>
      <c r="C51" s="216"/>
      <c r="D51" s="216"/>
      <c r="E51" s="216"/>
      <c r="F51" s="216"/>
      <c r="G51" s="216"/>
      <c r="H51" s="216"/>
    </row>
    <row r="52" spans="1:8" s="16" customFormat="1" hidden="1">
      <c r="A52" s="95"/>
      <c r="B52" s="95"/>
      <c r="C52" s="95"/>
      <c r="D52" s="95"/>
      <c r="E52" s="95"/>
      <c r="F52" s="95"/>
      <c r="G52" s="95"/>
      <c r="H52" s="95"/>
    </row>
    <row r="53" spans="1:8" s="16" customFormat="1" hidden="1">
      <c r="A53" s="216" t="s">
        <v>343</v>
      </c>
      <c r="B53" s="216"/>
      <c r="C53" s="216"/>
      <c r="D53" s="216"/>
      <c r="E53" s="216"/>
      <c r="F53" s="216"/>
      <c r="G53" s="216"/>
      <c r="H53" s="216"/>
    </row>
    <row r="54" spans="1:8" s="16" customFormat="1" hidden="1">
      <c r="A54" s="216" t="s">
        <v>126</v>
      </c>
      <c r="B54" s="216"/>
      <c r="C54" s="216"/>
      <c r="D54" s="216"/>
      <c r="E54" s="216"/>
      <c r="F54" s="216"/>
      <c r="G54" s="216"/>
      <c r="H54" s="216"/>
    </row>
    <row r="55" spans="1:8" s="16" customFormat="1" hidden="1">
      <c r="A55" s="95"/>
    </row>
    <row r="56" spans="1:8" s="16" customFormat="1" hidden="1">
      <c r="A56" s="95"/>
    </row>
    <row r="57" spans="1:8" s="16" customFormat="1" hidden="1">
      <c r="A57" s="95"/>
    </row>
    <row r="58" spans="1:8" s="16" customFormat="1" hidden="1">
      <c r="A58" s="216" t="s">
        <v>338</v>
      </c>
      <c r="B58" s="216"/>
      <c r="C58" s="216"/>
      <c r="D58" s="216"/>
      <c r="E58" s="216"/>
      <c r="F58" s="216"/>
      <c r="G58" s="216"/>
      <c r="H58" s="216"/>
    </row>
    <row r="59" spans="1:8" s="16" customFormat="1" hidden="1">
      <c r="A59" s="95"/>
    </row>
    <row r="60" spans="1:8" s="16" customFormat="1" hidden="1">
      <c r="A60" s="94"/>
    </row>
    <row r="61" spans="1:8" hidden="1"/>
    <row r="62" spans="1:8" hidden="1"/>
    <row r="63" spans="1:8" hidden="1"/>
  </sheetData>
  <mergeCells count="60">
    <mergeCell ref="A42:H42"/>
    <mergeCell ref="A48:H48"/>
    <mergeCell ref="A8:A9"/>
    <mergeCell ref="C8:C9"/>
    <mergeCell ref="D8:D9"/>
    <mergeCell ref="E8:E9"/>
    <mergeCell ref="F8:F9"/>
    <mergeCell ref="A13:A14"/>
    <mergeCell ref="C13:C14"/>
    <mergeCell ref="D13:D14"/>
    <mergeCell ref="E13:E14"/>
    <mergeCell ref="F13:F14"/>
    <mergeCell ref="E15:E16"/>
    <mergeCell ref="F15:F16"/>
    <mergeCell ref="G8:G9"/>
    <mergeCell ref="H8:H9"/>
    <mergeCell ref="G13:G14"/>
    <mergeCell ref="H13:H14"/>
    <mergeCell ref="A4:A5"/>
    <mergeCell ref="B4:B5"/>
    <mergeCell ref="C4:C5"/>
    <mergeCell ref="D4:D5"/>
    <mergeCell ref="E4:H4"/>
    <mergeCell ref="D15:D16"/>
    <mergeCell ref="H24:H25"/>
    <mergeCell ref="A28:A29"/>
    <mergeCell ref="C28:C29"/>
    <mergeCell ref="D28:D29"/>
    <mergeCell ref="E28:E29"/>
    <mergeCell ref="F28:F29"/>
    <mergeCell ref="G28:G29"/>
    <mergeCell ref="H28:H29"/>
    <mergeCell ref="A24:A25"/>
    <mergeCell ref="C24:C25"/>
    <mergeCell ref="D24:D25"/>
    <mergeCell ref="E24:E25"/>
    <mergeCell ref="F24:F25"/>
    <mergeCell ref="G24:G25"/>
    <mergeCell ref="G15:G16"/>
    <mergeCell ref="A54:H54"/>
    <mergeCell ref="A58:H58"/>
    <mergeCell ref="A1:H1"/>
    <mergeCell ref="A38:H38"/>
    <mergeCell ref="A39:H39"/>
    <mergeCell ref="A40:H40"/>
    <mergeCell ref="H15:H16"/>
    <mergeCell ref="A19:A20"/>
    <mergeCell ref="C19:C20"/>
    <mergeCell ref="D19:D20"/>
    <mergeCell ref="E19:E20"/>
    <mergeCell ref="F19:F20"/>
    <mergeCell ref="G19:G20"/>
    <mergeCell ref="H19:H20"/>
    <mergeCell ref="A15:A16"/>
    <mergeCell ref="C15:C16"/>
    <mergeCell ref="A43:H43"/>
    <mergeCell ref="A46:H46"/>
    <mergeCell ref="A50:H50"/>
    <mergeCell ref="A51:H51"/>
    <mergeCell ref="A53:H53"/>
  </mergeCells>
  <hyperlinks>
    <hyperlink ref="A1" location="P1116" display="P1116"/>
    <hyperlink ref="B7" location="P1117" display="P1117"/>
    <hyperlink ref="B16" r:id="rId1" display="consultantplus://offline/ref=FF37134FA53EF84CFB8C456484DD62A4420BB46BBE6B93B9DC5783F5A394B82136748C4F5C9EF377BD868F2A13O2t6K"/>
    <hyperlink ref="B20" r:id="rId2" display="consultantplus://offline/ref=FF37134FA53EF84CFB8C456484DD62A4420BB46BBE6B93B9DC5783F5A394B82136748C4F5C9EF377BD868F2A13O2t6K"/>
    <hyperlink ref="B22" location="P1121" display="P1121"/>
    <hyperlink ref="B25" r:id="rId3" display="consultantplus://offline/ref=FF37134FA53EF84CFB8C456484DD62A4420BB46BBE6B93B9DC5783F5A394B82136748C4F5C9EF377BD868F2A13O2t6K"/>
    <hyperlink ref="B29" r:id="rId4" display="consultantplus://offline/ref=FF37134FA53EF84CFB8C456484DD62A4420BB46BBE6B93B9DC5783F5A394B82136748C4F5C9EF377BD868F2A13O2t6K"/>
    <hyperlink ref="B30" r:id="rId5" display="consultantplus://offline/ref=FF37134FA53EF84CFB8C456484DD62A44208BE69BF6E93B9DC5783F5A394B82136748C4F5C9EF377BD868F2A13O2t6K"/>
    <hyperlink ref="B34" r:id="rId6" display="consultantplus://offline/ref=FF37134FA53EF84CFB8C456484DD62A44208BE69BF6E93B9DC5783F5A394B82136748C4F5C9EF377BD868F2A13O2t6K"/>
  </hyperlinks>
  <pageMargins left="0" right="0" top="0" bottom="0" header="0" footer="0"/>
  <pageSetup paperSize="9" scale="60" orientation="landscape" r:id="rId7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9"/>
  <sheetViews>
    <sheetView view="pageBreakPreview" zoomScale="70" zoomScaleNormal="80" zoomScaleSheetLayoutView="70" workbookViewId="0">
      <selection activeCell="E71" sqref="E71:E85"/>
    </sheetView>
  </sheetViews>
  <sheetFormatPr defaultColWidth="9.140625" defaultRowHeight="15"/>
  <cols>
    <col min="1" max="1" width="88" style="136" customWidth="1"/>
    <col min="2" max="2" width="9.140625" style="125"/>
    <col min="3" max="3" width="17.85546875" style="125" customWidth="1"/>
    <col min="4" max="4" width="16.28515625" style="125" customWidth="1"/>
    <col min="5" max="5" width="15.140625" style="125" customWidth="1"/>
    <col min="6" max="8" width="17.85546875" style="125" customWidth="1"/>
    <col min="9" max="9" width="9.140625" style="125"/>
    <col min="10" max="11" width="11.140625" style="125" bestFit="1" customWidth="1"/>
    <col min="12" max="16384" width="9.140625" style="125"/>
  </cols>
  <sheetData>
    <row r="1" spans="1:8" ht="18.75">
      <c r="A1" s="207" t="s">
        <v>384</v>
      </c>
      <c r="B1" s="207"/>
      <c r="C1" s="207"/>
      <c r="D1" s="207"/>
      <c r="E1" s="207"/>
      <c r="F1" s="207"/>
      <c r="G1" s="207"/>
      <c r="H1" s="207"/>
    </row>
    <row r="2" spans="1:8" ht="18.75">
      <c r="A2" s="126"/>
      <c r="B2" s="127"/>
      <c r="C2" s="127"/>
      <c r="D2" s="127"/>
      <c r="E2" s="127"/>
      <c r="F2" s="127"/>
      <c r="G2" s="127"/>
      <c r="H2" s="127"/>
    </row>
    <row r="3" spans="1:8" ht="15.75">
      <c r="A3" s="208" t="s">
        <v>27</v>
      </c>
      <c r="B3" s="201" t="s">
        <v>28</v>
      </c>
      <c r="C3" s="209" t="s">
        <v>370</v>
      </c>
      <c r="D3" s="209" t="s">
        <v>371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66" t="s">
        <v>369</v>
      </c>
      <c r="F4" s="166" t="s">
        <v>346</v>
      </c>
      <c r="G4" s="166" t="s">
        <v>347</v>
      </c>
      <c r="H4" s="166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372</v>
      </c>
      <c r="B6" s="166">
        <v>1</v>
      </c>
      <c r="C6" s="166" t="s">
        <v>31</v>
      </c>
      <c r="D6" s="166" t="s">
        <v>31</v>
      </c>
      <c r="E6" s="139"/>
      <c r="F6" s="139"/>
      <c r="G6" s="139"/>
      <c r="H6" s="169"/>
    </row>
    <row r="7" spans="1:8" ht="15.75">
      <c r="A7" s="132" t="s">
        <v>373</v>
      </c>
      <c r="B7" s="166">
        <v>2</v>
      </c>
      <c r="C7" s="166" t="s">
        <v>31</v>
      </c>
      <c r="D7" s="166" t="s">
        <v>31</v>
      </c>
      <c r="E7" s="139"/>
      <c r="F7" s="139"/>
      <c r="G7" s="139"/>
      <c r="H7" s="169"/>
    </row>
    <row r="8" spans="1:8" ht="15.75">
      <c r="A8" s="165" t="s">
        <v>32</v>
      </c>
      <c r="B8" s="166">
        <v>1000</v>
      </c>
      <c r="C8" s="166"/>
      <c r="D8" s="166"/>
      <c r="E8" s="182">
        <f>E9+E12+E18+E20+E22+E26+E31</f>
        <v>1838428.76</v>
      </c>
      <c r="F8" s="182">
        <f t="shared" ref="F8:G8" si="0">F9+F12+F18+F20+F22+F26+F31</f>
        <v>2064616</v>
      </c>
      <c r="G8" s="182">
        <f t="shared" si="0"/>
        <v>2064616</v>
      </c>
      <c r="H8" s="169"/>
    </row>
    <row r="9" spans="1:8" ht="15.75">
      <c r="A9" s="165" t="s">
        <v>33</v>
      </c>
      <c r="B9" s="204">
        <v>1100</v>
      </c>
      <c r="C9" s="204">
        <v>120</v>
      </c>
      <c r="D9" s="204"/>
      <c r="E9" s="226">
        <v>1440</v>
      </c>
      <c r="F9" s="226"/>
      <c r="G9" s="226"/>
      <c r="H9" s="226"/>
    </row>
    <row r="10" spans="1:8" ht="15.75">
      <c r="A10" s="165" t="s">
        <v>34</v>
      </c>
      <c r="B10" s="205"/>
      <c r="C10" s="205"/>
      <c r="D10" s="205"/>
      <c r="E10" s="227"/>
      <c r="F10" s="227"/>
      <c r="G10" s="227"/>
      <c r="H10" s="227"/>
    </row>
    <row r="11" spans="1:8" ht="15.75">
      <c r="A11" s="165" t="s">
        <v>35</v>
      </c>
      <c r="B11" s="166">
        <v>1110</v>
      </c>
      <c r="C11" s="166"/>
      <c r="D11" s="166"/>
      <c r="E11" s="169"/>
      <c r="F11" s="169"/>
      <c r="G11" s="169"/>
      <c r="H11" s="169"/>
    </row>
    <row r="12" spans="1:8" ht="15.75">
      <c r="A12" s="165" t="s">
        <v>36</v>
      </c>
      <c r="B12" s="166">
        <v>1200</v>
      </c>
      <c r="C12" s="166">
        <v>130</v>
      </c>
      <c r="D12" s="166"/>
      <c r="E12" s="169">
        <f>E13+E15+E16+E17</f>
        <v>1808844.5</v>
      </c>
      <c r="F12" s="169">
        <f t="shared" ref="F12" si="1">F13+F15+F16+F17</f>
        <v>2054616</v>
      </c>
      <c r="G12" s="169">
        <f t="shared" ref="G12" si="2">G13+G15+G16+G17</f>
        <v>2054616</v>
      </c>
      <c r="H12" s="169"/>
    </row>
    <row r="13" spans="1:8" ht="15.75">
      <c r="A13" s="165" t="s">
        <v>33</v>
      </c>
      <c r="B13" s="204">
        <v>1210</v>
      </c>
      <c r="C13" s="204">
        <v>130</v>
      </c>
      <c r="D13" s="204"/>
      <c r="E13" s="226"/>
      <c r="F13" s="226"/>
      <c r="G13" s="226"/>
      <c r="H13" s="226"/>
    </row>
    <row r="14" spans="1:8" ht="15.75">
      <c r="A14" s="165" t="s">
        <v>37</v>
      </c>
      <c r="B14" s="205"/>
      <c r="C14" s="205"/>
      <c r="D14" s="228"/>
      <c r="E14" s="229"/>
      <c r="F14" s="229"/>
      <c r="G14" s="229"/>
      <c r="H14" s="228"/>
    </row>
    <row r="15" spans="1:8" ht="31.5">
      <c r="A15" s="165" t="s">
        <v>38</v>
      </c>
      <c r="B15" s="166">
        <v>1230</v>
      </c>
      <c r="C15" s="166"/>
      <c r="D15" s="166"/>
      <c r="E15" s="169">
        <v>1727918</v>
      </c>
      <c r="F15" s="169">
        <v>2032116</v>
      </c>
      <c r="G15" s="169">
        <v>2032116</v>
      </c>
      <c r="H15" s="169"/>
    </row>
    <row r="16" spans="1:8" ht="31.5">
      <c r="A16" s="165" t="s">
        <v>39</v>
      </c>
      <c r="B16" s="166">
        <v>1240</v>
      </c>
      <c r="C16" s="166"/>
      <c r="D16" s="166"/>
      <c r="E16" s="169">
        <v>71012.5</v>
      </c>
      <c r="F16" s="169">
        <v>22500</v>
      </c>
      <c r="G16" s="169">
        <v>22500</v>
      </c>
      <c r="H16" s="169"/>
    </row>
    <row r="17" spans="1:8" ht="31.5">
      <c r="A17" s="165" t="s">
        <v>385</v>
      </c>
      <c r="B17" s="166"/>
      <c r="C17" s="166"/>
      <c r="D17" s="166"/>
      <c r="E17" s="169">
        <v>9914</v>
      </c>
      <c r="F17" s="169"/>
      <c r="G17" s="169"/>
      <c r="H17" s="169"/>
    </row>
    <row r="18" spans="1:8" ht="15.75">
      <c r="A18" s="165" t="s">
        <v>40</v>
      </c>
      <c r="B18" s="166">
        <v>1300</v>
      </c>
      <c r="C18" s="166">
        <v>140</v>
      </c>
      <c r="D18" s="166"/>
      <c r="E18" s="169">
        <v>56.76</v>
      </c>
      <c r="F18" s="169"/>
      <c r="G18" s="169"/>
      <c r="H18" s="169"/>
    </row>
    <row r="19" spans="1:8" ht="15.75">
      <c r="A19" s="165" t="s">
        <v>33</v>
      </c>
      <c r="B19" s="166">
        <v>1310</v>
      </c>
      <c r="C19" s="166">
        <v>140</v>
      </c>
      <c r="D19" s="166"/>
      <c r="E19" s="169"/>
      <c r="F19" s="169"/>
      <c r="G19" s="169"/>
      <c r="H19" s="169"/>
    </row>
    <row r="20" spans="1:8" ht="15.75">
      <c r="A20" s="165" t="s">
        <v>41</v>
      </c>
      <c r="B20" s="166">
        <v>1400</v>
      </c>
      <c r="C20" s="166">
        <v>150</v>
      </c>
      <c r="D20" s="166"/>
      <c r="E20" s="169">
        <v>25000</v>
      </c>
      <c r="F20" s="169">
        <v>10000</v>
      </c>
      <c r="G20" s="169">
        <v>10000</v>
      </c>
      <c r="H20" s="169"/>
    </row>
    <row r="21" spans="1:8" ht="15.75">
      <c r="A21" s="165" t="s">
        <v>33</v>
      </c>
      <c r="B21" s="166"/>
      <c r="C21" s="166"/>
      <c r="D21" s="166"/>
      <c r="E21" s="169"/>
      <c r="F21" s="169"/>
      <c r="G21" s="169"/>
      <c r="H21" s="169"/>
    </row>
    <row r="22" spans="1:8" ht="15.75">
      <c r="A22" s="165" t="s">
        <v>42</v>
      </c>
      <c r="B22" s="166">
        <v>1500</v>
      </c>
      <c r="C22" s="166">
        <v>180</v>
      </c>
      <c r="D22" s="166"/>
      <c r="E22" s="169"/>
      <c r="F22" s="169"/>
      <c r="G22" s="169"/>
      <c r="H22" s="169"/>
    </row>
    <row r="23" spans="1:8" ht="15.75">
      <c r="A23" s="165" t="s">
        <v>33</v>
      </c>
      <c r="B23" s="201">
        <v>1510</v>
      </c>
      <c r="C23" s="201">
        <v>180</v>
      </c>
      <c r="D23" s="201"/>
      <c r="E23" s="230"/>
      <c r="F23" s="230"/>
      <c r="G23" s="230"/>
      <c r="H23" s="230"/>
    </row>
    <row r="24" spans="1:8" ht="15.75">
      <c r="A24" s="165" t="s">
        <v>43</v>
      </c>
      <c r="B24" s="201"/>
      <c r="C24" s="201"/>
      <c r="D24" s="201"/>
      <c r="E24" s="230"/>
      <c r="F24" s="230"/>
      <c r="G24" s="230"/>
      <c r="H24" s="230"/>
    </row>
    <row r="25" spans="1:8" ht="15.75">
      <c r="A25" s="165" t="s">
        <v>44</v>
      </c>
      <c r="B25" s="166">
        <v>1520</v>
      </c>
      <c r="C25" s="166">
        <v>180</v>
      </c>
      <c r="D25" s="166"/>
      <c r="E25" s="169"/>
      <c r="F25" s="169"/>
      <c r="G25" s="169"/>
      <c r="H25" s="169"/>
    </row>
    <row r="26" spans="1:8" ht="15.75">
      <c r="A26" s="165" t="s">
        <v>45</v>
      </c>
      <c r="B26" s="166">
        <v>1900</v>
      </c>
      <c r="C26" s="166"/>
      <c r="D26" s="166"/>
      <c r="E26" s="169"/>
      <c r="F26" s="169"/>
      <c r="G26" s="169"/>
      <c r="H26" s="169"/>
    </row>
    <row r="27" spans="1:8" ht="15.75">
      <c r="A27" s="165" t="s">
        <v>33</v>
      </c>
      <c r="B27" s="166"/>
      <c r="C27" s="166"/>
      <c r="D27" s="166"/>
      <c r="E27" s="169"/>
      <c r="F27" s="169"/>
      <c r="G27" s="169"/>
      <c r="H27" s="169"/>
    </row>
    <row r="28" spans="1:8" ht="15.75">
      <c r="A28" s="132" t="s">
        <v>46</v>
      </c>
      <c r="B28" s="166">
        <v>1980</v>
      </c>
      <c r="C28" s="166" t="s">
        <v>31</v>
      </c>
      <c r="D28" s="166"/>
      <c r="E28" s="169"/>
      <c r="F28" s="169"/>
      <c r="G28" s="169"/>
      <c r="H28" s="169"/>
    </row>
    <row r="29" spans="1:8" ht="15.75">
      <c r="A29" s="165" t="s">
        <v>47</v>
      </c>
      <c r="B29" s="201">
        <v>1981</v>
      </c>
      <c r="C29" s="201">
        <v>510</v>
      </c>
      <c r="D29" s="201"/>
      <c r="E29" s="230"/>
      <c r="F29" s="230"/>
      <c r="G29" s="230"/>
      <c r="H29" s="230" t="s">
        <v>31</v>
      </c>
    </row>
    <row r="30" spans="1:8" ht="31.5">
      <c r="A30" s="165" t="s">
        <v>48</v>
      </c>
      <c r="B30" s="201"/>
      <c r="C30" s="201"/>
      <c r="D30" s="201"/>
      <c r="E30" s="230"/>
      <c r="F30" s="230"/>
      <c r="G30" s="230"/>
      <c r="H30" s="230"/>
    </row>
    <row r="31" spans="1:8" ht="15.75">
      <c r="A31" s="165" t="s">
        <v>386</v>
      </c>
      <c r="B31" s="166"/>
      <c r="C31" s="166"/>
      <c r="D31" s="166"/>
      <c r="E31" s="169">
        <v>3087.5</v>
      </c>
      <c r="F31" s="169"/>
      <c r="G31" s="169"/>
      <c r="H31" s="169"/>
    </row>
    <row r="32" spans="1:8" ht="15.75">
      <c r="A32" s="165" t="s">
        <v>49</v>
      </c>
      <c r="B32" s="166">
        <v>2000</v>
      </c>
      <c r="C32" s="166" t="s">
        <v>31</v>
      </c>
      <c r="D32" s="166"/>
      <c r="E32" s="182">
        <f>E33+E54+E69+E63</f>
        <v>1838428.76</v>
      </c>
      <c r="F32" s="182">
        <f t="shared" ref="F32" si="3">F33+F54+F69+F63</f>
        <v>2064616</v>
      </c>
      <c r="G32" s="182">
        <f t="shared" ref="G32" si="4">G33+G54+G69+G63</f>
        <v>2064616</v>
      </c>
      <c r="H32" s="169"/>
    </row>
    <row r="33" spans="1:12" ht="15.75">
      <c r="A33" s="165" t="s">
        <v>33</v>
      </c>
      <c r="B33" s="201">
        <v>2100</v>
      </c>
      <c r="C33" s="201" t="s">
        <v>31</v>
      </c>
      <c r="D33" s="201"/>
      <c r="E33" s="230">
        <f>E35+E37+E39</f>
        <v>706058</v>
      </c>
      <c r="F33" s="230">
        <f t="shared" ref="F33" si="5">F35+F37+F39</f>
        <v>1016058</v>
      </c>
      <c r="G33" s="230">
        <f t="shared" ref="G33" si="6">G35+G37+G39</f>
        <v>1016058</v>
      </c>
      <c r="H33" s="230" t="s">
        <v>31</v>
      </c>
    </row>
    <row r="34" spans="1:12" ht="15.75">
      <c r="A34" s="165" t="s">
        <v>50</v>
      </c>
      <c r="B34" s="201"/>
      <c r="C34" s="201"/>
      <c r="D34" s="201"/>
      <c r="E34" s="230"/>
      <c r="F34" s="230"/>
      <c r="G34" s="230"/>
      <c r="H34" s="230"/>
    </row>
    <row r="35" spans="1:12" ht="15.75">
      <c r="A35" s="165" t="s">
        <v>33</v>
      </c>
      <c r="B35" s="201">
        <v>2110</v>
      </c>
      <c r="C35" s="201">
        <v>111</v>
      </c>
      <c r="D35" s="201"/>
      <c r="E35" s="230">
        <v>539208</v>
      </c>
      <c r="F35" s="230">
        <v>709208</v>
      </c>
      <c r="G35" s="230">
        <v>709208</v>
      </c>
      <c r="H35" s="230" t="s">
        <v>31</v>
      </c>
    </row>
    <row r="36" spans="1:12">
      <c r="A36" s="134" t="s">
        <v>51</v>
      </c>
      <c r="B36" s="201"/>
      <c r="C36" s="201"/>
      <c r="D36" s="201"/>
      <c r="E36" s="230"/>
      <c r="F36" s="230"/>
      <c r="G36" s="230"/>
      <c r="H36" s="230"/>
    </row>
    <row r="37" spans="1:12" ht="15.75">
      <c r="A37" s="134" t="s">
        <v>52</v>
      </c>
      <c r="B37" s="166">
        <v>2120</v>
      </c>
      <c r="C37" s="166">
        <v>112</v>
      </c>
      <c r="D37" s="166"/>
      <c r="E37" s="169"/>
      <c r="F37" s="169"/>
      <c r="G37" s="169"/>
      <c r="H37" s="169" t="s">
        <v>31</v>
      </c>
    </row>
    <row r="38" spans="1:12" ht="30">
      <c r="A38" s="134" t="s">
        <v>53</v>
      </c>
      <c r="B38" s="166">
        <v>2130</v>
      </c>
      <c r="C38" s="166">
        <v>113</v>
      </c>
      <c r="D38" s="166"/>
      <c r="E38" s="169"/>
      <c r="F38" s="169"/>
      <c r="G38" s="169"/>
      <c r="H38" s="169" t="s">
        <v>31</v>
      </c>
    </row>
    <row r="39" spans="1:12" ht="31.5">
      <c r="A39" s="165" t="s">
        <v>54</v>
      </c>
      <c r="B39" s="166">
        <v>2140</v>
      </c>
      <c r="C39" s="166">
        <v>119</v>
      </c>
      <c r="D39" s="166"/>
      <c r="E39" s="169">
        <f>E40++E42</f>
        <v>166850</v>
      </c>
      <c r="F39" s="169">
        <f t="shared" ref="F39" si="7">F40++F42</f>
        <v>306850</v>
      </c>
      <c r="G39" s="169">
        <f t="shared" ref="G39" si="8">G40++G42</f>
        <v>306850</v>
      </c>
      <c r="H39" s="169" t="s">
        <v>31</v>
      </c>
    </row>
    <row r="40" spans="1:12" ht="15.75">
      <c r="A40" s="165" t="s">
        <v>33</v>
      </c>
      <c r="B40" s="201">
        <v>2141</v>
      </c>
      <c r="C40" s="201">
        <v>119</v>
      </c>
      <c r="D40" s="201"/>
      <c r="E40" s="230">
        <v>166850</v>
      </c>
      <c r="F40" s="230">
        <v>306850</v>
      </c>
      <c r="G40" s="230">
        <v>306850</v>
      </c>
      <c r="H40" s="230" t="s">
        <v>31</v>
      </c>
    </row>
    <row r="41" spans="1:12" ht="15.75">
      <c r="A41" s="165" t="s">
        <v>55</v>
      </c>
      <c r="B41" s="201"/>
      <c r="C41" s="201"/>
      <c r="D41" s="201"/>
      <c r="E41" s="230"/>
      <c r="F41" s="230"/>
      <c r="G41" s="230"/>
      <c r="H41" s="230"/>
      <c r="J41" s="181"/>
      <c r="K41" s="181"/>
      <c r="L41" s="181"/>
    </row>
    <row r="42" spans="1:12" ht="15.75">
      <c r="A42" s="165" t="s">
        <v>56</v>
      </c>
      <c r="B42" s="166">
        <v>2142</v>
      </c>
      <c r="C42" s="166">
        <v>119</v>
      </c>
      <c r="D42" s="166"/>
      <c r="E42" s="169"/>
      <c r="F42" s="169"/>
      <c r="G42" s="169"/>
      <c r="H42" s="169" t="s">
        <v>31</v>
      </c>
      <c r="J42" s="181"/>
    </row>
    <row r="43" spans="1:12" ht="15.75">
      <c r="A43" s="134" t="s">
        <v>87</v>
      </c>
      <c r="B43" s="166">
        <v>2200</v>
      </c>
      <c r="C43" s="166">
        <v>300</v>
      </c>
      <c r="D43" s="166"/>
      <c r="E43" s="169"/>
      <c r="F43" s="169"/>
      <c r="G43" s="169"/>
      <c r="H43" s="169" t="s">
        <v>31</v>
      </c>
    </row>
    <row r="44" spans="1:12" ht="15.75">
      <c r="A44" s="165" t="s">
        <v>33</v>
      </c>
      <c r="B44" s="201">
        <v>2210</v>
      </c>
      <c r="C44" s="201">
        <v>320</v>
      </c>
      <c r="D44" s="201"/>
      <c r="E44" s="230"/>
      <c r="F44" s="230"/>
      <c r="G44" s="230"/>
      <c r="H44" s="230" t="s">
        <v>31</v>
      </c>
    </row>
    <row r="45" spans="1:12" ht="15.75">
      <c r="A45" s="165" t="s">
        <v>57</v>
      </c>
      <c r="B45" s="201"/>
      <c r="C45" s="201"/>
      <c r="D45" s="201"/>
      <c r="E45" s="230"/>
      <c r="F45" s="230"/>
      <c r="G45" s="230"/>
      <c r="H45" s="230"/>
    </row>
    <row r="46" spans="1:12" ht="15.75">
      <c r="A46" s="165" t="s">
        <v>47</v>
      </c>
      <c r="B46" s="201">
        <v>2211</v>
      </c>
      <c r="C46" s="201">
        <v>321</v>
      </c>
      <c r="D46" s="201"/>
      <c r="E46" s="230"/>
      <c r="F46" s="230"/>
      <c r="G46" s="230"/>
      <c r="H46" s="230" t="s">
        <v>31</v>
      </c>
    </row>
    <row r="47" spans="1:12" ht="31.5">
      <c r="A47" s="165" t="s">
        <v>58</v>
      </c>
      <c r="B47" s="201"/>
      <c r="C47" s="201"/>
      <c r="D47" s="201"/>
      <c r="E47" s="230"/>
      <c r="F47" s="230"/>
      <c r="G47" s="230"/>
      <c r="H47" s="230"/>
    </row>
    <row r="48" spans="1:12" ht="15.75">
      <c r="A48" s="165" t="s">
        <v>59</v>
      </c>
      <c r="B48" s="201">
        <v>2212</v>
      </c>
      <c r="C48" s="201">
        <v>323</v>
      </c>
      <c r="D48" s="201"/>
      <c r="E48" s="230"/>
      <c r="F48" s="230"/>
      <c r="G48" s="230"/>
      <c r="H48" s="230"/>
    </row>
    <row r="49" spans="1:8" ht="15.75">
      <c r="A49" s="165" t="s">
        <v>60</v>
      </c>
      <c r="B49" s="201"/>
      <c r="C49" s="201"/>
      <c r="D49" s="201"/>
      <c r="E49" s="230"/>
      <c r="F49" s="230"/>
      <c r="G49" s="230"/>
      <c r="H49" s="230"/>
    </row>
    <row r="50" spans="1:8" ht="15.75">
      <c r="A50" s="165" t="s">
        <v>61</v>
      </c>
      <c r="B50" s="201"/>
      <c r="C50" s="201"/>
      <c r="D50" s="201"/>
      <c r="E50" s="230"/>
      <c r="F50" s="230"/>
      <c r="G50" s="230"/>
      <c r="H50" s="230"/>
    </row>
    <row r="51" spans="1:8" ht="15.75">
      <c r="A51" s="165" t="s">
        <v>62</v>
      </c>
      <c r="B51" s="166">
        <v>2220</v>
      </c>
      <c r="C51" s="166">
        <v>340</v>
      </c>
      <c r="D51" s="166"/>
      <c r="E51" s="169"/>
      <c r="F51" s="169"/>
      <c r="G51" s="169"/>
      <c r="H51" s="169" t="s">
        <v>31</v>
      </c>
    </row>
    <row r="52" spans="1:8" ht="15.75">
      <c r="A52" s="165" t="s">
        <v>63</v>
      </c>
      <c r="B52" s="166">
        <v>2230</v>
      </c>
      <c r="C52" s="166">
        <v>350</v>
      </c>
      <c r="D52" s="166"/>
      <c r="E52" s="169"/>
      <c r="F52" s="169"/>
      <c r="G52" s="169"/>
      <c r="H52" s="169" t="s">
        <v>31</v>
      </c>
    </row>
    <row r="53" spans="1:8" ht="15.75">
      <c r="A53" s="165" t="s">
        <v>64</v>
      </c>
      <c r="B53" s="166">
        <v>2240</v>
      </c>
      <c r="C53" s="166">
        <v>360</v>
      </c>
      <c r="D53" s="166"/>
      <c r="E53" s="169"/>
      <c r="F53" s="169"/>
      <c r="G53" s="169"/>
      <c r="H53" s="169" t="s">
        <v>31</v>
      </c>
    </row>
    <row r="54" spans="1:8" ht="15.75">
      <c r="A54" s="165" t="s">
        <v>65</v>
      </c>
      <c r="B54" s="166">
        <v>2300</v>
      </c>
      <c r="C54" s="166">
        <v>850</v>
      </c>
      <c r="D54" s="166"/>
      <c r="E54" s="169">
        <f>E55+E57+E58</f>
        <v>5019.76</v>
      </c>
      <c r="F54" s="169">
        <f t="shared" ref="F54" si="9">F55+F57+F58</f>
        <v>10963</v>
      </c>
      <c r="G54" s="169">
        <f t="shared" ref="G54" si="10">G55+G57+G58</f>
        <v>10963</v>
      </c>
      <c r="H54" s="169" t="s">
        <v>31</v>
      </c>
    </row>
    <row r="55" spans="1:8" ht="15.75">
      <c r="A55" s="165" t="s">
        <v>47</v>
      </c>
      <c r="B55" s="201">
        <v>2310</v>
      </c>
      <c r="C55" s="201">
        <v>851</v>
      </c>
      <c r="D55" s="201"/>
      <c r="E55" s="230"/>
      <c r="F55" s="230"/>
      <c r="G55" s="230"/>
      <c r="H55" s="230" t="s">
        <v>31</v>
      </c>
    </row>
    <row r="56" spans="1:8" ht="15.75">
      <c r="A56" s="165" t="s">
        <v>88</v>
      </c>
      <c r="B56" s="201"/>
      <c r="C56" s="201"/>
      <c r="D56" s="201"/>
      <c r="E56" s="230"/>
      <c r="F56" s="230"/>
      <c r="G56" s="230"/>
      <c r="H56" s="230"/>
    </row>
    <row r="57" spans="1:8" ht="15.75">
      <c r="A57" s="134" t="s">
        <v>66</v>
      </c>
      <c r="B57" s="166">
        <v>2320</v>
      </c>
      <c r="C57" s="166">
        <v>852</v>
      </c>
      <c r="D57" s="166"/>
      <c r="E57" s="169">
        <v>4000</v>
      </c>
      <c r="F57" s="169"/>
      <c r="G57" s="169"/>
      <c r="H57" s="169" t="s">
        <v>31</v>
      </c>
    </row>
    <row r="58" spans="1:8" ht="15.75">
      <c r="A58" s="134" t="s">
        <v>67</v>
      </c>
      <c r="B58" s="166">
        <v>2330</v>
      </c>
      <c r="C58" s="166">
        <v>853</v>
      </c>
      <c r="D58" s="166"/>
      <c r="E58" s="163">
        <v>1019.76</v>
      </c>
      <c r="F58" s="163">
        <v>10963</v>
      </c>
      <c r="G58" s="163">
        <v>10963</v>
      </c>
      <c r="H58" s="169" t="s">
        <v>31</v>
      </c>
    </row>
    <row r="59" spans="1:8" ht="15.75">
      <c r="A59" s="165" t="s">
        <v>68</v>
      </c>
      <c r="B59" s="166">
        <v>2400</v>
      </c>
      <c r="C59" s="166" t="s">
        <v>31</v>
      </c>
      <c r="D59" s="166"/>
      <c r="E59" s="169"/>
      <c r="F59" s="169"/>
      <c r="G59" s="169"/>
      <c r="H59" s="169" t="s">
        <v>31</v>
      </c>
    </row>
    <row r="60" spans="1:8" ht="15.75">
      <c r="A60" s="165" t="s">
        <v>47</v>
      </c>
      <c r="B60" s="201">
        <v>2410</v>
      </c>
      <c r="C60" s="201">
        <v>810</v>
      </c>
      <c r="D60" s="201"/>
      <c r="E60" s="230"/>
      <c r="F60" s="230"/>
      <c r="G60" s="230"/>
      <c r="H60" s="230" t="s">
        <v>31</v>
      </c>
    </row>
    <row r="61" spans="1:8" ht="47.25">
      <c r="A61" s="165" t="s">
        <v>69</v>
      </c>
      <c r="B61" s="201"/>
      <c r="C61" s="201"/>
      <c r="D61" s="201"/>
      <c r="E61" s="230"/>
      <c r="F61" s="230"/>
      <c r="G61" s="230"/>
      <c r="H61" s="230"/>
    </row>
    <row r="62" spans="1:8" ht="15.75">
      <c r="A62" s="165" t="s">
        <v>70</v>
      </c>
      <c r="B62" s="166">
        <v>2500</v>
      </c>
      <c r="C62" s="166" t="s">
        <v>31</v>
      </c>
      <c r="D62" s="166"/>
      <c r="E62" s="169">
        <f>E63</f>
        <v>0</v>
      </c>
      <c r="F62" s="175">
        <f t="shared" ref="F62:G62" si="11">F63</f>
        <v>50000</v>
      </c>
      <c r="G62" s="175">
        <f t="shared" si="11"/>
        <v>50000</v>
      </c>
      <c r="H62" s="169" t="s">
        <v>31</v>
      </c>
    </row>
    <row r="63" spans="1:8" ht="31.5">
      <c r="A63" s="165" t="s">
        <v>71</v>
      </c>
      <c r="B63" s="166">
        <v>2520</v>
      </c>
      <c r="C63" s="166">
        <v>831</v>
      </c>
      <c r="D63" s="166"/>
      <c r="E63" s="169"/>
      <c r="F63" s="169">
        <v>50000</v>
      </c>
      <c r="G63" s="169">
        <v>50000</v>
      </c>
      <c r="H63" s="169" t="s">
        <v>31</v>
      </c>
    </row>
    <row r="64" spans="1:8" ht="15.75">
      <c r="A64" s="132" t="s">
        <v>72</v>
      </c>
      <c r="B64" s="166">
        <v>2600</v>
      </c>
      <c r="C64" s="166" t="s">
        <v>31</v>
      </c>
      <c r="D64" s="166"/>
      <c r="E64" s="169">
        <f>E69</f>
        <v>1127351</v>
      </c>
      <c r="F64" s="175">
        <f t="shared" ref="F64:G64" si="12">F69</f>
        <v>987595</v>
      </c>
      <c r="G64" s="175">
        <f t="shared" si="12"/>
        <v>987595</v>
      </c>
      <c r="H64" s="169"/>
    </row>
    <row r="65" spans="1:8" ht="15.75">
      <c r="A65" s="165" t="s">
        <v>33</v>
      </c>
      <c r="B65" s="201">
        <v>2610</v>
      </c>
      <c r="C65" s="201">
        <v>241</v>
      </c>
      <c r="D65" s="201"/>
      <c r="E65" s="230"/>
      <c r="F65" s="230"/>
      <c r="G65" s="230"/>
      <c r="H65" s="230"/>
    </row>
    <row r="66" spans="1:8" ht="15.75">
      <c r="A66" s="165" t="s">
        <v>73</v>
      </c>
      <c r="B66" s="201"/>
      <c r="C66" s="201"/>
      <c r="D66" s="201"/>
      <c r="E66" s="230"/>
      <c r="F66" s="230"/>
      <c r="G66" s="230"/>
      <c r="H66" s="230"/>
    </row>
    <row r="67" spans="1:8" ht="31.5">
      <c r="A67" s="165" t="s">
        <v>74</v>
      </c>
      <c r="B67" s="166">
        <v>2620</v>
      </c>
      <c r="C67" s="166">
        <v>242</v>
      </c>
      <c r="D67" s="166"/>
      <c r="E67" s="169"/>
      <c r="F67" s="169"/>
      <c r="G67" s="169"/>
      <c r="H67" s="169"/>
    </row>
    <row r="68" spans="1:8" ht="31.5">
      <c r="A68" s="165" t="s">
        <v>75</v>
      </c>
      <c r="B68" s="166">
        <v>2630</v>
      </c>
      <c r="C68" s="166">
        <v>243</v>
      </c>
      <c r="D68" s="166"/>
      <c r="E68" s="169"/>
      <c r="F68" s="169"/>
      <c r="G68" s="169"/>
      <c r="H68" s="169"/>
    </row>
    <row r="69" spans="1:8" ht="15.75">
      <c r="A69" s="165" t="s">
        <v>76</v>
      </c>
      <c r="B69" s="166">
        <v>2640</v>
      </c>
      <c r="C69" s="166">
        <v>244</v>
      </c>
      <c r="D69" s="166"/>
      <c r="E69" s="169">
        <f>SUM(E71:E84)</f>
        <v>1127351</v>
      </c>
      <c r="F69" s="169">
        <f t="shared" ref="F69" si="13">SUM(F71:F84)</f>
        <v>987595</v>
      </c>
      <c r="G69" s="169">
        <f t="shared" ref="G69" si="14">SUM(G71:G84)</f>
        <v>987595</v>
      </c>
      <c r="H69" s="169"/>
    </row>
    <row r="70" spans="1:8" ht="15.75">
      <c r="A70" s="165" t="s">
        <v>47</v>
      </c>
      <c r="B70" s="166"/>
      <c r="C70" s="166"/>
      <c r="D70" s="166"/>
      <c r="E70" s="169"/>
      <c r="F70" s="169"/>
      <c r="G70" s="169"/>
      <c r="H70" s="169"/>
    </row>
    <row r="71" spans="1:8" ht="15.75">
      <c r="A71" s="165" t="s">
        <v>356</v>
      </c>
      <c r="B71" s="166"/>
      <c r="C71" s="166"/>
      <c r="D71" s="166">
        <v>221</v>
      </c>
      <c r="E71" s="169">
        <v>40642</v>
      </c>
      <c r="F71" s="169">
        <v>40642</v>
      </c>
      <c r="G71" s="169">
        <v>40642</v>
      </c>
      <c r="H71" s="169"/>
    </row>
    <row r="72" spans="1:8" ht="15.75">
      <c r="A72" s="165" t="s">
        <v>374</v>
      </c>
      <c r="B72" s="166"/>
      <c r="C72" s="166"/>
      <c r="D72" s="166">
        <v>222</v>
      </c>
      <c r="E72" s="169"/>
      <c r="F72" s="169"/>
      <c r="G72" s="169"/>
      <c r="H72" s="169"/>
    </row>
    <row r="73" spans="1:8" ht="15.75">
      <c r="A73" s="165" t="s">
        <v>375</v>
      </c>
      <c r="B73" s="166"/>
      <c r="C73" s="166">
        <v>244</v>
      </c>
      <c r="D73" s="166">
        <v>223</v>
      </c>
      <c r="E73" s="169">
        <f>10000+10000+40000+38212</f>
        <v>98212</v>
      </c>
      <c r="F73" s="169">
        <f>20000+10000+10000+23212</f>
        <v>63212</v>
      </c>
      <c r="G73" s="169">
        <f>20000+10000+10000+23212</f>
        <v>63212</v>
      </c>
      <c r="H73" s="169"/>
    </row>
    <row r="74" spans="1:8" ht="15.75">
      <c r="A74" s="165" t="s">
        <v>375</v>
      </c>
      <c r="B74" s="166"/>
      <c r="C74" s="166">
        <v>247</v>
      </c>
      <c r="D74" s="166">
        <v>223</v>
      </c>
      <c r="E74" s="169">
        <f>162500</f>
        <v>162500</v>
      </c>
      <c r="F74" s="169">
        <v>162500</v>
      </c>
      <c r="G74" s="169">
        <v>162500</v>
      </c>
      <c r="H74" s="169"/>
    </row>
    <row r="75" spans="1:8" ht="15.75">
      <c r="A75" s="165" t="s">
        <v>376</v>
      </c>
      <c r="B75" s="166"/>
      <c r="C75" s="166"/>
      <c r="D75" s="166">
        <v>225</v>
      </c>
      <c r="E75" s="169">
        <f>63482+383533+230701</f>
        <v>677716</v>
      </c>
      <c r="F75" s="169">
        <f>30482+121927+60963+10161</f>
        <v>223533</v>
      </c>
      <c r="G75" s="169">
        <f>30482+121927+60963+10161</f>
        <v>223533</v>
      </c>
      <c r="H75" s="169"/>
    </row>
    <row r="76" spans="1:8" ht="15.75">
      <c r="A76" s="165" t="s">
        <v>377</v>
      </c>
      <c r="B76" s="166"/>
      <c r="C76" s="166"/>
      <c r="D76" s="166">
        <v>226</v>
      </c>
      <c r="E76" s="169">
        <f>56803+9096+7500</f>
        <v>73399</v>
      </c>
      <c r="F76" s="169">
        <f>50803+6096+20321</f>
        <v>77220</v>
      </c>
      <c r="G76" s="169">
        <f>50803+6096+20321</f>
        <v>77220</v>
      </c>
      <c r="H76" s="169"/>
    </row>
    <row r="77" spans="1:8" ht="15.75">
      <c r="A77" s="165" t="s">
        <v>378</v>
      </c>
      <c r="B77" s="166"/>
      <c r="C77" s="166"/>
      <c r="D77" s="166">
        <v>227</v>
      </c>
      <c r="E77" s="169"/>
      <c r="F77" s="169"/>
      <c r="G77" s="169"/>
      <c r="H77" s="169"/>
    </row>
    <row r="78" spans="1:8" ht="15.75">
      <c r="A78" s="165" t="s">
        <v>379</v>
      </c>
      <c r="B78" s="166"/>
      <c r="C78" s="166"/>
      <c r="D78" s="166">
        <v>228</v>
      </c>
      <c r="E78" s="169"/>
      <c r="F78" s="169"/>
      <c r="G78" s="169"/>
      <c r="H78" s="169"/>
    </row>
    <row r="79" spans="1:8" ht="15.75">
      <c r="A79" s="165" t="s">
        <v>380</v>
      </c>
      <c r="B79" s="166"/>
      <c r="C79" s="166"/>
      <c r="D79" s="166">
        <v>312</v>
      </c>
      <c r="E79" s="169">
        <v>28955</v>
      </c>
      <c r="F79" s="169">
        <v>196955</v>
      </c>
      <c r="G79" s="169">
        <v>196955</v>
      </c>
      <c r="H79" s="169"/>
    </row>
    <row r="80" spans="1:8" ht="15.75">
      <c r="A80" s="165" t="s">
        <v>381</v>
      </c>
      <c r="B80" s="166"/>
      <c r="C80" s="166"/>
      <c r="D80" s="166">
        <v>343</v>
      </c>
      <c r="E80" s="169"/>
      <c r="F80" s="169"/>
      <c r="G80" s="169"/>
      <c r="H80" s="169"/>
    </row>
    <row r="81" spans="1:8" ht="15.75">
      <c r="A81" s="165" t="s">
        <v>365</v>
      </c>
      <c r="B81" s="166"/>
      <c r="C81" s="166"/>
      <c r="D81" s="166">
        <v>344</v>
      </c>
      <c r="E81" s="169">
        <v>4000</v>
      </c>
      <c r="F81" s="169">
        <v>101606</v>
      </c>
      <c r="G81" s="169">
        <v>101606</v>
      </c>
      <c r="H81" s="169"/>
    </row>
    <row r="82" spans="1:8" ht="15.75">
      <c r="A82" s="165" t="s">
        <v>382</v>
      </c>
      <c r="B82" s="166"/>
      <c r="C82" s="166"/>
      <c r="D82" s="166">
        <v>345</v>
      </c>
      <c r="E82" s="169"/>
      <c r="F82" s="169"/>
      <c r="G82" s="169"/>
      <c r="H82" s="169"/>
    </row>
    <row r="83" spans="1:8" ht="15.75">
      <c r="A83" s="165" t="s">
        <v>366</v>
      </c>
      <c r="B83" s="166"/>
      <c r="C83" s="166"/>
      <c r="D83" s="166">
        <v>346</v>
      </c>
      <c r="E83" s="169">
        <v>606</v>
      </c>
      <c r="F83" s="169">
        <v>101606</v>
      </c>
      <c r="G83" s="169">
        <v>101606</v>
      </c>
      <c r="H83" s="169"/>
    </row>
    <row r="84" spans="1:8" ht="15.75">
      <c r="A84" s="165" t="s">
        <v>367</v>
      </c>
      <c r="B84" s="166"/>
      <c r="C84" s="166"/>
      <c r="D84" s="166">
        <v>349</v>
      </c>
      <c r="E84" s="169">
        <v>41321</v>
      </c>
      <c r="F84" s="169">
        <v>20321</v>
      </c>
      <c r="G84" s="169">
        <v>20321</v>
      </c>
      <c r="H84" s="169"/>
    </row>
    <row r="85" spans="1:8" ht="31.5">
      <c r="A85" s="165" t="s">
        <v>77</v>
      </c>
      <c r="B85" s="166">
        <v>2650</v>
      </c>
      <c r="C85" s="166">
        <v>400</v>
      </c>
      <c r="D85" s="166"/>
      <c r="E85" s="169"/>
      <c r="F85" s="139"/>
      <c r="G85" s="139"/>
      <c r="H85" s="169"/>
    </row>
    <row r="86" spans="1:8" ht="15.75">
      <c r="A86" s="165" t="s">
        <v>33</v>
      </c>
      <c r="B86" s="201">
        <v>2651</v>
      </c>
      <c r="C86" s="201">
        <v>406</v>
      </c>
      <c r="D86" s="201"/>
      <c r="E86" s="230"/>
      <c r="F86" s="231"/>
      <c r="G86" s="231"/>
      <c r="H86" s="230"/>
    </row>
    <row r="87" spans="1:8" ht="15.75">
      <c r="A87" s="165" t="s">
        <v>78</v>
      </c>
      <c r="B87" s="201"/>
      <c r="C87" s="201"/>
      <c r="D87" s="201"/>
      <c r="E87" s="230"/>
      <c r="F87" s="231"/>
      <c r="G87" s="231"/>
      <c r="H87" s="230"/>
    </row>
    <row r="88" spans="1:8" ht="31.5">
      <c r="A88" s="165" t="s">
        <v>79</v>
      </c>
      <c r="B88" s="166">
        <v>2652</v>
      </c>
      <c r="C88" s="166">
        <v>407</v>
      </c>
      <c r="D88" s="166"/>
      <c r="E88" s="169"/>
      <c r="F88" s="139"/>
      <c r="G88" s="139"/>
      <c r="H88" s="169"/>
    </row>
    <row r="89" spans="1:8" ht="15.75">
      <c r="A89" s="135"/>
      <c r="B89" s="127"/>
      <c r="C89" s="127"/>
      <c r="D89" s="127"/>
      <c r="E89" s="127"/>
      <c r="F89" s="127"/>
      <c r="G89" s="127"/>
      <c r="H89" s="127"/>
    </row>
  </sheetData>
  <mergeCells count="104">
    <mergeCell ref="H65:H66"/>
    <mergeCell ref="B86:B87"/>
    <mergeCell ref="C86:C87"/>
    <mergeCell ref="D86:D87"/>
    <mergeCell ref="E86:E87"/>
    <mergeCell ref="F86:F87"/>
    <mergeCell ref="G86:G87"/>
    <mergeCell ref="H86:H87"/>
    <mergeCell ref="B65:B66"/>
    <mergeCell ref="C65:C66"/>
    <mergeCell ref="D65:D66"/>
    <mergeCell ref="E65:E66"/>
    <mergeCell ref="F65:F66"/>
    <mergeCell ref="G65:G66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</hyperlinks>
  <pageMargins left="0" right="0" top="0" bottom="0" header="0" footer="0"/>
  <pageSetup paperSize="9" scale="70" orientation="landscape" r:id="rId1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AH86"/>
  <sheetViews>
    <sheetView view="pageBreakPreview" zoomScale="60" zoomScaleNormal="70" workbookViewId="0">
      <selection activeCell="E57" sqref="E57:E58"/>
    </sheetView>
  </sheetViews>
  <sheetFormatPr defaultColWidth="9.140625" defaultRowHeight="15"/>
  <cols>
    <col min="1" max="1" width="88.5703125" style="136" customWidth="1"/>
    <col min="2" max="2" width="9.140625" style="125"/>
    <col min="3" max="3" width="17.85546875" style="125" customWidth="1"/>
    <col min="4" max="4" width="13" style="125" customWidth="1"/>
    <col min="5" max="5" width="23.140625" style="125" customWidth="1"/>
    <col min="6" max="6" width="21" style="125" customWidth="1"/>
    <col min="7" max="7" width="23.28515625" style="125" customWidth="1"/>
    <col min="8" max="8" width="15.85546875" style="125" customWidth="1"/>
    <col min="9" max="10" width="15.85546875" style="125" bestFit="1" customWidth="1"/>
    <col min="11" max="11" width="26.5703125" style="125" customWidth="1"/>
    <col min="12" max="12" width="13.140625" style="125" bestFit="1" customWidth="1"/>
    <col min="13" max="13" width="9.140625" style="125"/>
    <col min="14" max="14" width="17" style="125" bestFit="1" customWidth="1"/>
    <col min="15" max="16384" width="9.140625" style="125"/>
  </cols>
  <sheetData>
    <row r="1" spans="1:34" ht="18.75">
      <c r="A1" s="236" t="s">
        <v>26</v>
      </c>
      <c r="B1" s="236"/>
      <c r="C1" s="236"/>
      <c r="D1" s="236"/>
      <c r="E1" s="236"/>
      <c r="F1" s="236"/>
      <c r="G1" s="236"/>
      <c r="H1" s="236"/>
    </row>
    <row r="2" spans="1:34" ht="18.75">
      <c r="A2" s="154"/>
      <c r="B2" s="155"/>
      <c r="C2" s="155"/>
      <c r="D2" s="155"/>
      <c r="E2" s="155"/>
      <c r="F2" s="155"/>
      <c r="G2" s="155"/>
      <c r="H2" s="155"/>
    </row>
    <row r="3" spans="1:34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34" ht="63">
      <c r="A4" s="208"/>
      <c r="B4" s="201"/>
      <c r="C4" s="209"/>
      <c r="D4" s="209"/>
      <c r="E4" s="152" t="s">
        <v>369</v>
      </c>
      <c r="F4" s="148" t="s">
        <v>346</v>
      </c>
      <c r="G4" s="148" t="s">
        <v>347</v>
      </c>
      <c r="H4" s="148" t="s">
        <v>30</v>
      </c>
    </row>
    <row r="5" spans="1:34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34" ht="15.75">
      <c r="A6" s="132" t="s">
        <v>324</v>
      </c>
      <c r="B6" s="148">
        <v>1</v>
      </c>
      <c r="C6" s="148" t="s">
        <v>31</v>
      </c>
      <c r="D6" s="148" t="s">
        <v>31</v>
      </c>
      <c r="E6" s="148"/>
      <c r="F6" s="148"/>
      <c r="G6" s="148"/>
      <c r="H6" s="148"/>
    </row>
    <row r="7" spans="1:34" ht="15.75">
      <c r="A7" s="132" t="s">
        <v>325</v>
      </c>
      <c r="B7" s="148">
        <v>2</v>
      </c>
      <c r="C7" s="148" t="s">
        <v>31</v>
      </c>
      <c r="D7" s="148" t="s">
        <v>31</v>
      </c>
      <c r="E7" s="149"/>
      <c r="F7" s="149"/>
      <c r="G7" s="149"/>
      <c r="H7" s="148"/>
    </row>
    <row r="8" spans="1:34" ht="15.75">
      <c r="A8" s="150" t="s">
        <v>32</v>
      </c>
      <c r="B8" s="148">
        <v>1000</v>
      </c>
      <c r="C8" s="148"/>
      <c r="D8" s="148"/>
      <c r="E8" s="177">
        <f>'раздел с 11гр'!E8+'раздел 1 13гр '!E8+'раздел 1 13иные1'!E8+'раздел 1 11гр иные'!E8+'раздел 1 12гр иные '!E8+внебюджет!E8</f>
        <v>49541981.460000001</v>
      </c>
      <c r="F8" s="177">
        <f>'раздел с 11гр'!F8+'раздел 1 13гр '!F8+'раздел 1 13иные1'!F8+'раздел 1 11гр иные'!F8+'раздел 1 12гр иные '!F8+внебюджет!F8</f>
        <v>42162086</v>
      </c>
      <c r="G8" s="177">
        <f>'раздел с 11гр'!G8+'раздел 1 13гр '!G8+'раздел 1 13иные1'!G8+'раздел 1 11гр иные'!G8+'раздел 1 12гр иные '!G8+внебюджет!G8</f>
        <v>42162086</v>
      </c>
      <c r="H8" s="148"/>
    </row>
    <row r="9" spans="1:34" ht="15.75">
      <c r="A9" s="150" t="s">
        <v>33</v>
      </c>
      <c r="B9" s="201">
        <v>1100</v>
      </c>
      <c r="C9" s="201">
        <v>120</v>
      </c>
      <c r="D9" s="201"/>
      <c r="E9" s="210">
        <f>внебюджет!E9</f>
        <v>1440</v>
      </c>
      <c r="F9" s="210">
        <f>внебюджет!F9</f>
        <v>0</v>
      </c>
      <c r="G9" s="210">
        <f>внебюджет!G9</f>
        <v>0</v>
      </c>
      <c r="H9" s="201"/>
    </row>
    <row r="10" spans="1:34" ht="15.75">
      <c r="A10" s="150" t="s">
        <v>34</v>
      </c>
      <c r="B10" s="201"/>
      <c r="C10" s="201"/>
      <c r="D10" s="201"/>
      <c r="E10" s="210"/>
      <c r="F10" s="210"/>
      <c r="G10" s="210"/>
      <c r="H10" s="201"/>
      <c r="I10" s="156"/>
    </row>
    <row r="11" spans="1:34" ht="15.75">
      <c r="A11" s="150" t="s">
        <v>35</v>
      </c>
      <c r="B11" s="148">
        <v>1110</v>
      </c>
      <c r="C11" s="148"/>
      <c r="D11" s="148"/>
      <c r="E11" s="149"/>
      <c r="F11" s="149"/>
      <c r="G11" s="149"/>
      <c r="H11" s="148"/>
    </row>
    <row r="12" spans="1:34" ht="15.75">
      <c r="A12" s="150" t="s">
        <v>36</v>
      </c>
      <c r="B12" s="148">
        <v>1200</v>
      </c>
      <c r="C12" s="148">
        <v>130</v>
      </c>
      <c r="D12" s="148"/>
      <c r="E12" s="149">
        <f>'раздел с 11гр'!E12+'раздел 1 13гр '!E12+'раздел 1 13иные1'!E12+'раздел 1 11гр иные'!E12+'раздел 1 12гр иные '!E12+внебюджет!E12</f>
        <v>42872430.880000003</v>
      </c>
      <c r="F12" s="173">
        <f>'раздел с 11гр'!F12+'раздел 1 13гр '!F12+'раздел 1 13иные1'!F12+'раздел 1 11гр иные'!F12+'раздел 1 12гр иные '!F12+внебюджет!F12</f>
        <v>38415616</v>
      </c>
      <c r="G12" s="173">
        <f>'раздел с 11гр'!G12+'раздел 1 13гр '!G12+'раздел 1 13иные1'!G12+'раздел 1 11гр иные'!G12+'раздел 1 12гр иные '!G12+внебюджет!G12</f>
        <v>38415616</v>
      </c>
      <c r="H12" s="148"/>
      <c r="K12" s="156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  <c r="AH12" s="157"/>
    </row>
    <row r="13" spans="1:34" ht="15.75">
      <c r="A13" s="150" t="s">
        <v>33</v>
      </c>
      <c r="B13" s="201">
        <v>1210</v>
      </c>
      <c r="C13" s="201">
        <v>130</v>
      </c>
      <c r="D13" s="201"/>
      <c r="E13" s="210">
        <f>'раздел с 11гр'!E13:E14+'раздел 1 13гр '!E13:E14+'раздел 1 13иные1'!E13:E14+'раздел 1 11гр иные'!E13:E14+'раздел 1 12гр иные '!E13:E14+внебюджет!E13</f>
        <v>41063586.380000003</v>
      </c>
      <c r="F13" s="210">
        <f>'раздел с 11гр'!F13:F14+'раздел 1 13гр '!F13:F14+'раздел 1 13иные1'!F13:F14+'раздел 1 11гр иные'!F13:F14+'раздел 1 12гр иные '!F13:F14+внебюджет!F13</f>
        <v>36361000</v>
      </c>
      <c r="G13" s="210">
        <f>'раздел с 11гр'!G13:G14+'раздел 1 13гр '!G13:G14+'раздел 1 13иные1'!G13:G14+'раздел 1 11гр иные'!G13:G14+'раздел 1 12гр иные '!G13:G14+внебюджет!G13</f>
        <v>36361000</v>
      </c>
      <c r="H13" s="201"/>
    </row>
    <row r="14" spans="1:34" ht="15.75">
      <c r="A14" s="150" t="s">
        <v>37</v>
      </c>
      <c r="B14" s="201"/>
      <c r="C14" s="201"/>
      <c r="D14" s="201"/>
      <c r="E14" s="210"/>
      <c r="F14" s="210"/>
      <c r="G14" s="210"/>
      <c r="H14" s="201"/>
    </row>
    <row r="15" spans="1:34" ht="31.5">
      <c r="A15" s="150" t="s">
        <v>38</v>
      </c>
      <c r="B15" s="148">
        <v>1230</v>
      </c>
      <c r="C15" s="148"/>
      <c r="D15" s="148"/>
      <c r="E15" s="149">
        <f>внебюджет!E15</f>
        <v>1727918</v>
      </c>
      <c r="F15" s="173">
        <f>внебюджет!F15</f>
        <v>2032116</v>
      </c>
      <c r="G15" s="173">
        <f>внебюджет!G15</f>
        <v>2032116</v>
      </c>
      <c r="H15" s="148"/>
      <c r="K15" s="156"/>
    </row>
    <row r="16" spans="1:34" ht="31.5">
      <c r="A16" s="150" t="s">
        <v>39</v>
      </c>
      <c r="B16" s="148">
        <v>1240</v>
      </c>
      <c r="C16" s="148"/>
      <c r="D16" s="148"/>
      <c r="E16" s="149">
        <f>внебюджет!E16</f>
        <v>71012.5</v>
      </c>
      <c r="F16" s="173">
        <f>внебюджет!F16</f>
        <v>22500</v>
      </c>
      <c r="G16" s="173">
        <f>внебюджет!G16</f>
        <v>22500</v>
      </c>
      <c r="H16" s="14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7"/>
    </row>
    <row r="17" spans="1:12" ht="31.5">
      <c r="A17" s="171" t="s">
        <v>385</v>
      </c>
      <c r="B17" s="172"/>
      <c r="C17" s="172"/>
      <c r="D17" s="172"/>
      <c r="E17" s="175">
        <f>внебюджет!E17</f>
        <v>9914</v>
      </c>
      <c r="F17" s="175">
        <f>внебюджет!F17</f>
        <v>0</v>
      </c>
      <c r="G17" s="175">
        <f>внебюджет!G17</f>
        <v>0</v>
      </c>
      <c r="H17" s="175"/>
    </row>
    <row r="18" spans="1:12" ht="15.75">
      <c r="A18" s="150" t="s">
        <v>40</v>
      </c>
      <c r="B18" s="148">
        <v>1300</v>
      </c>
      <c r="C18" s="148">
        <v>140</v>
      </c>
      <c r="D18" s="148"/>
      <c r="E18" s="175">
        <f>внебюджет!E18</f>
        <v>56.76</v>
      </c>
      <c r="F18" s="175">
        <f>внебюджет!F18</f>
        <v>0</v>
      </c>
      <c r="G18" s="175">
        <f>внебюджет!G18</f>
        <v>0</v>
      </c>
      <c r="H18" s="148"/>
    </row>
    <row r="19" spans="1:12" ht="15.75">
      <c r="A19" s="150" t="s">
        <v>33</v>
      </c>
      <c r="B19" s="148">
        <v>1310</v>
      </c>
      <c r="C19" s="148">
        <v>140</v>
      </c>
      <c r="D19" s="148"/>
      <c r="E19" s="148"/>
      <c r="F19" s="148"/>
      <c r="G19" s="148"/>
      <c r="H19" s="148"/>
      <c r="J19" s="156">
        <f>E32-E8</f>
        <v>0</v>
      </c>
      <c r="K19" s="156">
        <f>F32-F8</f>
        <v>0</v>
      </c>
      <c r="L19" s="156">
        <f>G32-G8</f>
        <v>0</v>
      </c>
    </row>
    <row r="20" spans="1:12" ht="15.75">
      <c r="A20" s="150" t="s">
        <v>41</v>
      </c>
      <c r="B20" s="148">
        <v>1400</v>
      </c>
      <c r="C20" s="148">
        <v>150</v>
      </c>
      <c r="D20" s="148"/>
      <c r="E20" s="175">
        <f>'раздел с 11гр'!E20+'раздел 1 13гр '!E20+'раздел 1 13иные1'!E20+'раздел 1 11гр иные'!E20+'раздел 1 12гр иные '!E20+внебюджет!E20</f>
        <v>25000</v>
      </c>
      <c r="F20" s="175">
        <f>'раздел с 11гр'!F20+'раздел 1 13гр '!F20+'раздел 1 13иные1'!F20+'раздел 1 11гр иные'!F20+'раздел 1 12гр иные '!F20+внебюджет!F20</f>
        <v>10000</v>
      </c>
      <c r="G20" s="175">
        <f>'раздел с 11гр'!G20+'раздел 1 13гр '!G20+'раздел 1 13иные1'!G20+'раздел 1 11гр иные'!G20+'раздел 1 12гр иные '!G20+внебюджет!G20</f>
        <v>10000</v>
      </c>
      <c r="H20" s="148"/>
    </row>
    <row r="21" spans="1:12" ht="15.75">
      <c r="A21" s="150" t="s">
        <v>33</v>
      </c>
      <c r="B21" s="148"/>
      <c r="C21" s="148"/>
      <c r="D21" s="148"/>
      <c r="E21" s="148"/>
      <c r="F21" s="148"/>
      <c r="G21" s="148"/>
      <c r="H21" s="148"/>
    </row>
    <row r="22" spans="1:12" ht="15.75">
      <c r="A22" s="150" t="s">
        <v>42</v>
      </c>
      <c r="B22" s="148">
        <v>1500</v>
      </c>
      <c r="C22" s="148">
        <v>180</v>
      </c>
      <c r="D22" s="148"/>
      <c r="E22" s="149">
        <f>'раздел 1 13иные1'!E22+'раздел 1 11гр иные'!E22+'раздел 1 12гр иные '!E22+внебюджет!E22</f>
        <v>6639966.3200000003</v>
      </c>
      <c r="F22" s="173">
        <f>'раздел 1 13иные1'!F22+'раздел 1 11гр иные'!F22+'раздел 1 12гр иные '!F22+внебюджет!F22</f>
        <v>3736470</v>
      </c>
      <c r="G22" s="173">
        <f>'раздел 1 13иные1'!G22+'раздел 1 11гр иные'!G22+'раздел 1 12гр иные '!G22+внебюджет!G22</f>
        <v>3736470</v>
      </c>
      <c r="H22" s="148"/>
    </row>
    <row r="23" spans="1:12" ht="15.75">
      <c r="A23" s="150" t="s">
        <v>33</v>
      </c>
      <c r="B23" s="201">
        <v>1510</v>
      </c>
      <c r="C23" s="201">
        <v>180</v>
      </c>
      <c r="D23" s="201"/>
      <c r="E23" s="232">
        <f>'раздел 1 13иные1'!E23:E24+'раздел 1 11гр иные'!E23:E24+'раздел 1 12гр иные '!E23:E24+внебюджет!E23</f>
        <v>6639966.3200000003</v>
      </c>
      <c r="F23" s="232">
        <f>'раздел 1 13иные1'!F23:F24+'раздел 1 11гр иные'!F23:F24+'раздел 1 12гр иные '!F23:F24+внебюджет!F23</f>
        <v>3736470</v>
      </c>
      <c r="G23" s="232">
        <f>'раздел 1 13иные1'!G23:G24+'раздел 1 11гр иные'!G23:G24+'раздел 1 12гр иные '!G23:G24+внебюджет!G23</f>
        <v>3736470</v>
      </c>
      <c r="H23" s="201"/>
    </row>
    <row r="24" spans="1:12" ht="15.75">
      <c r="A24" s="150" t="s">
        <v>43</v>
      </c>
      <c r="B24" s="201"/>
      <c r="C24" s="201"/>
      <c r="D24" s="201"/>
      <c r="E24" s="233"/>
      <c r="F24" s="233"/>
      <c r="G24" s="233"/>
      <c r="H24" s="201"/>
    </row>
    <row r="25" spans="1:12" ht="15.75">
      <c r="A25" s="150" t="s">
        <v>44</v>
      </c>
      <c r="B25" s="148">
        <v>1520</v>
      </c>
      <c r="C25" s="148">
        <v>180</v>
      </c>
      <c r="D25" s="148"/>
      <c r="E25" s="148"/>
      <c r="F25" s="148"/>
      <c r="G25" s="148"/>
      <c r="H25" s="148"/>
    </row>
    <row r="26" spans="1:12" ht="15.75">
      <c r="A26" s="150" t="s">
        <v>45</v>
      </c>
      <c r="B26" s="148">
        <v>1900</v>
      </c>
      <c r="C26" s="148"/>
      <c r="D26" s="148"/>
      <c r="E26" s="148"/>
      <c r="F26" s="148"/>
      <c r="G26" s="148"/>
      <c r="H26" s="148"/>
    </row>
    <row r="27" spans="1:12" ht="15.75">
      <c r="A27" s="150" t="s">
        <v>33</v>
      </c>
      <c r="B27" s="148"/>
      <c r="C27" s="148"/>
      <c r="D27" s="148"/>
      <c r="E27" s="148"/>
      <c r="F27" s="148"/>
      <c r="G27" s="148"/>
      <c r="H27" s="148"/>
    </row>
    <row r="28" spans="1:12" ht="15.75">
      <c r="A28" s="132" t="s">
        <v>46</v>
      </c>
      <c r="B28" s="148">
        <v>1980</v>
      </c>
      <c r="C28" s="148" t="s">
        <v>31</v>
      </c>
      <c r="D28" s="148"/>
      <c r="E28" s="148"/>
      <c r="F28" s="148"/>
      <c r="G28" s="148"/>
      <c r="H28" s="148"/>
    </row>
    <row r="29" spans="1:12" ht="15.75">
      <c r="A29" s="150" t="s">
        <v>47</v>
      </c>
      <c r="B29" s="201">
        <v>1981</v>
      </c>
      <c r="C29" s="201">
        <v>510</v>
      </c>
      <c r="D29" s="201"/>
      <c r="E29" s="201"/>
      <c r="F29" s="201"/>
      <c r="G29" s="215">
        <f>F32-F8</f>
        <v>0</v>
      </c>
      <c r="H29" s="201" t="s">
        <v>31</v>
      </c>
    </row>
    <row r="30" spans="1:12" ht="31.5">
      <c r="A30" s="150" t="s">
        <v>48</v>
      </c>
      <c r="B30" s="201"/>
      <c r="C30" s="201"/>
      <c r="D30" s="201"/>
      <c r="E30" s="201"/>
      <c r="F30" s="201"/>
      <c r="G30" s="201"/>
      <c r="H30" s="201"/>
    </row>
    <row r="31" spans="1:12" ht="15.75">
      <c r="A31" s="171" t="s">
        <v>386</v>
      </c>
      <c r="B31" s="172"/>
      <c r="C31" s="172"/>
      <c r="D31" s="172"/>
      <c r="E31" s="175">
        <f>внебюджет!E31</f>
        <v>3087.5</v>
      </c>
      <c r="F31" s="175">
        <f>внебюджет!F31</f>
        <v>0</v>
      </c>
      <c r="G31" s="175">
        <f>внебюджет!G31</f>
        <v>0</v>
      </c>
      <c r="H31" s="175"/>
    </row>
    <row r="32" spans="1:12" ht="15.75">
      <c r="A32" s="150" t="s">
        <v>49</v>
      </c>
      <c r="B32" s="148">
        <v>2000</v>
      </c>
      <c r="C32" s="148" t="s">
        <v>31</v>
      </c>
      <c r="D32" s="148"/>
      <c r="E32" s="177">
        <f>E33+E43+E54+E59+E62+E64</f>
        <v>49541981.460000001</v>
      </c>
      <c r="F32" s="177">
        <f t="shared" ref="F32:G32" si="0">F33+F43+F54+F59+F62+F64</f>
        <v>42162086</v>
      </c>
      <c r="G32" s="177">
        <f t="shared" si="0"/>
        <v>42162086</v>
      </c>
      <c r="H32" s="148"/>
    </row>
    <row r="33" spans="1:11" ht="15.75">
      <c r="A33" s="150" t="s">
        <v>33</v>
      </c>
      <c r="B33" s="201">
        <v>2100</v>
      </c>
      <c r="C33" s="201" t="s">
        <v>31</v>
      </c>
      <c r="D33" s="201"/>
      <c r="E33" s="202">
        <f>'раздел с 11гр'!E33:E34+'раздел 1 13гр '!E33:E34+'раздел 1 13иные1'!E33:E34+'раздел 1 11гр иные'!E33:E34+'раздел 1 12гр иные '!E33:E34+внебюджет!E33</f>
        <v>36413077</v>
      </c>
      <c r="F33" s="202">
        <f>'раздел с 11гр'!F33:F34+'раздел 1 13гр '!F33:F34+'раздел 1 13иные1'!F33:F34+'раздел 1 11гр иные'!F33:F34+'раздел 1 12гр иные '!F33:F34+внебюджет!F33</f>
        <v>34880328</v>
      </c>
      <c r="G33" s="202">
        <f>'раздел с 11гр'!G33:G34+'раздел 1 13гр '!G33:G34+'раздел 1 13иные1'!G33:G34+'раздел 1 11гр иные'!G33:G34+'раздел 1 12гр иные '!G33:G34+внебюджет!G33</f>
        <v>34880328</v>
      </c>
      <c r="H33" s="201" t="s">
        <v>31</v>
      </c>
    </row>
    <row r="34" spans="1:11" ht="15.75">
      <c r="A34" s="150" t="s">
        <v>50</v>
      </c>
      <c r="B34" s="201"/>
      <c r="C34" s="201"/>
      <c r="D34" s="201"/>
      <c r="E34" s="203"/>
      <c r="F34" s="203"/>
      <c r="G34" s="203"/>
      <c r="H34" s="201"/>
    </row>
    <row r="35" spans="1:11" ht="15.75">
      <c r="A35" s="150" t="s">
        <v>33</v>
      </c>
      <c r="B35" s="201">
        <v>2110</v>
      </c>
      <c r="C35" s="201">
        <v>111</v>
      </c>
      <c r="D35" s="201">
        <v>211</v>
      </c>
      <c r="E35" s="202">
        <f>'раздел с 11гр'!E35:E36+'раздел 1 13гр '!E35:E36+'раздел 1 13иные1'!E35:E36+'раздел 1 11гр иные'!E35:E36+'раздел 1 12гр иные '!E35:E36+внебюджет!E35</f>
        <v>27736668.75</v>
      </c>
      <c r="F35" s="202">
        <f>'раздел с 11гр'!F35:F36+'раздел 1 13гр '!F35:F36+'раздел 1 13иные1'!F35:F36+'раздел 1 11гр иные'!F35:F36+'раздел 1 12гр иные '!F35:F36+внебюджет!F35</f>
        <v>25967108</v>
      </c>
      <c r="G35" s="202">
        <f>'раздел с 11гр'!G35:G36+'раздел 1 13гр '!G35:G36+'раздел 1 13иные1'!G35:G36+'раздел 1 11гр иные'!G35:G36+'раздел 1 12гр иные '!G35:G36+внебюджет!G35</f>
        <v>25967108</v>
      </c>
      <c r="H35" s="201" t="s">
        <v>31</v>
      </c>
      <c r="I35" s="156"/>
      <c r="J35" s="156"/>
      <c r="K35" s="156"/>
    </row>
    <row r="36" spans="1:11" ht="15" customHeight="1">
      <c r="A36" s="134" t="s">
        <v>51</v>
      </c>
      <c r="B36" s="201"/>
      <c r="C36" s="201"/>
      <c r="D36" s="201"/>
      <c r="E36" s="203"/>
      <c r="F36" s="203"/>
      <c r="G36" s="203"/>
      <c r="H36" s="201"/>
    </row>
    <row r="37" spans="1:11" ht="15.75">
      <c r="A37" s="134" t="s">
        <v>52</v>
      </c>
      <c r="B37" s="148">
        <v>2120</v>
      </c>
      <c r="C37" s="148">
        <v>111</v>
      </c>
      <c r="D37" s="148">
        <v>266</v>
      </c>
      <c r="E37" s="149">
        <f>'раздел с 11гр'!E37+'раздел 1 13гр '!E37+'раздел 1 13иные1'!E37+'раздел 1 11гр иные'!E37+'раздел 1 12гр иные '!E37+внебюджет!E37</f>
        <v>195704.26</v>
      </c>
      <c r="F37" s="173">
        <f>'раздел с 11гр'!F37+'раздел 1 13гр '!F37+'раздел 1 13иные1'!F37+'раздел 1 11гр иные'!F37+'раздел 1 12гр иные '!F37+внебюджет!F37</f>
        <v>499200</v>
      </c>
      <c r="G37" s="173">
        <f>'раздел с 11гр'!G37+'раздел 1 13гр '!G37+'раздел 1 13иные1'!G37+'раздел 1 11гр иные'!G37+'раздел 1 12гр иные '!G37+внебюджет!G37</f>
        <v>499200</v>
      </c>
      <c r="H37" s="148" t="s">
        <v>31</v>
      </c>
    </row>
    <row r="38" spans="1:11" ht="30">
      <c r="A38" s="134" t="s">
        <v>53</v>
      </c>
      <c r="B38" s="148">
        <v>2130</v>
      </c>
      <c r="C38" s="148">
        <v>113</v>
      </c>
      <c r="D38" s="148">
        <v>296</v>
      </c>
      <c r="E38" s="149">
        <f>'раздел с 11гр'!E38+'раздел 1 13гр '!E38+'раздел 1 13иные1'!E38+'раздел 1 11гр иные'!E38+'раздел 1 12гр иные '!E38+внебюджет!E38</f>
        <v>0</v>
      </c>
      <c r="F38" s="173">
        <f>'раздел с 11гр'!F38+'раздел 1 13гр '!F38+'раздел 1 13иные1'!F38+'раздел 1 11гр иные'!F38+'раздел 1 12гр иные '!F38+внебюджет!F38</f>
        <v>239000</v>
      </c>
      <c r="G38" s="173">
        <f>'раздел с 11гр'!G38+'раздел 1 13гр '!G38+'раздел 1 13иные1'!G38+'раздел 1 11гр иные'!G38+'раздел 1 12гр иные '!G38+внебюджет!G38</f>
        <v>239000</v>
      </c>
      <c r="H38" s="148" t="s">
        <v>31</v>
      </c>
    </row>
    <row r="39" spans="1:11" ht="31.5">
      <c r="A39" s="150" t="s">
        <v>54</v>
      </c>
      <c r="B39" s="148">
        <v>2140</v>
      </c>
      <c r="C39" s="148">
        <v>119</v>
      </c>
      <c r="D39" s="148">
        <v>213</v>
      </c>
      <c r="E39" s="149">
        <f>'раздел с 11гр'!E39+'раздел 1 13гр '!E39+'раздел 1 13иные1'!E39+'раздел 1 11гр иные'!E39+'раздел 1 12гр иные '!E39+внебюджет!E39</f>
        <v>8480703.9900000002</v>
      </c>
      <c r="F39" s="173">
        <f>'раздел с 11гр'!F39+'раздел 1 13гр '!F39+'раздел 1 13иные1'!F39+'раздел 1 11гр иные'!F39+'раздел 1 12гр иные '!F39+внебюджет!F39</f>
        <v>8175020</v>
      </c>
      <c r="G39" s="173">
        <f>'раздел с 11гр'!G39+'раздел 1 13гр '!G39+'раздел 1 13иные1'!G39+'раздел 1 11гр иные'!G39+'раздел 1 12гр иные '!G39+внебюджет!G39</f>
        <v>8175020</v>
      </c>
      <c r="H39" s="148" t="s">
        <v>31</v>
      </c>
    </row>
    <row r="40" spans="1:11" ht="15.75">
      <c r="A40" s="150" t="s">
        <v>33</v>
      </c>
      <c r="B40" s="201">
        <v>2141</v>
      </c>
      <c r="C40" s="201">
        <v>119</v>
      </c>
      <c r="D40" s="201"/>
      <c r="E40" s="202">
        <f>'раздел с 11гр'!E40+'раздел 1 13гр '!E40:E41+'раздел 1 13иные1'!E40:E41+'раздел 1 11гр иные'!E40:E41+'раздел 1 12гр иные '!E40:E41+внебюджет!E40</f>
        <v>357970.88</v>
      </c>
      <c r="F40" s="202">
        <f>'раздел с 11гр'!F40+'раздел 1 13гр '!F40:F41+'раздел 1 13иные1'!F40:F41+'раздел 1 11гр иные'!F40:F41+'раздел 1 12гр иные '!F40:F41+внебюджет!F40</f>
        <v>466550</v>
      </c>
      <c r="G40" s="202">
        <f>'раздел с 11гр'!G40+'раздел 1 13гр '!G40:G41+'раздел 1 13иные1'!G40:G41+'раздел 1 11гр иные'!G40:G41+'раздел 1 12гр иные '!G40:G41+внебюджет!G40</f>
        <v>466550</v>
      </c>
      <c r="H40" s="201" t="s">
        <v>31</v>
      </c>
    </row>
    <row r="41" spans="1:11" ht="15.75">
      <c r="A41" s="150" t="s">
        <v>55</v>
      </c>
      <c r="B41" s="201"/>
      <c r="C41" s="201"/>
      <c r="D41" s="201"/>
      <c r="E41" s="203"/>
      <c r="F41" s="203"/>
      <c r="G41" s="203"/>
      <c r="H41" s="201"/>
    </row>
    <row r="42" spans="1:11" ht="15.75">
      <c r="A42" s="150" t="s">
        <v>56</v>
      </c>
      <c r="B42" s="148">
        <v>2142</v>
      </c>
      <c r="C42" s="148">
        <v>119</v>
      </c>
      <c r="D42" s="148"/>
      <c r="E42" s="149"/>
      <c r="F42" s="149"/>
      <c r="G42" s="149"/>
      <c r="H42" s="148" t="s">
        <v>31</v>
      </c>
    </row>
    <row r="43" spans="1:11" ht="31.5" customHeight="1">
      <c r="A43" s="134" t="s">
        <v>87</v>
      </c>
      <c r="B43" s="148">
        <v>2200</v>
      </c>
      <c r="C43" s="148">
        <v>300</v>
      </c>
      <c r="D43" s="148">
        <v>262</v>
      </c>
      <c r="E43" s="149">
        <f>'раздел с 11гр'!E43+'раздел 1 13гр '!E43+'раздел 1 13иные1'!E43+'раздел 1 11гр иные'!E43+'раздел 1 12гр иные '!E43+внебюджет!E43</f>
        <v>314339.7</v>
      </c>
      <c r="F43" s="173">
        <f>'раздел с 11гр'!F43+'раздел 1 13гр '!F43+'раздел 1 13иные1'!F43+'раздел 1 11гр иные'!F43+'раздел 1 12гр иные '!F43+внебюджет!F43</f>
        <v>211300</v>
      </c>
      <c r="G43" s="173">
        <f>'раздел с 11гр'!G43+'раздел 1 13гр '!G43+'раздел 1 13иные1'!G43+'раздел 1 11гр иные'!G43+'раздел 1 12гр иные '!G43+внебюджет!G43</f>
        <v>211300</v>
      </c>
      <c r="H43" s="148" t="s">
        <v>31</v>
      </c>
    </row>
    <row r="44" spans="1:11" ht="15.75">
      <c r="A44" s="150" t="s">
        <v>33</v>
      </c>
      <c r="B44" s="201">
        <v>2210</v>
      </c>
      <c r="C44" s="201">
        <v>320</v>
      </c>
      <c r="D44" s="201"/>
      <c r="E44" s="202">
        <f>'раздел с 11гр'!E44:E45+'раздел 1 13гр '!E44:E45+'раздел 1 13иные1'!E44:E45+'раздел 1 11гр иные'!E44:E45+'раздел 1 12гр иные '!E44:E45+внебюджет!E44</f>
        <v>314339.7</v>
      </c>
      <c r="F44" s="202">
        <f>'раздел с 11гр'!F44:F45+'раздел 1 13гр '!F44:F45+'раздел 1 13иные1'!F44:F45+'раздел 1 11гр иные'!F44:F45+'раздел 1 12гр иные '!F44:F45+внебюджет!F44</f>
        <v>211300</v>
      </c>
      <c r="G44" s="202">
        <f>'раздел с 11гр'!G44:G45+'раздел 1 13гр '!G44:G45+'раздел 1 13иные1'!G44:G45+'раздел 1 11гр иные'!G44:G45+'раздел 1 12гр иные '!G44:G45+внебюджет!G44</f>
        <v>211300</v>
      </c>
      <c r="H44" s="201" t="s">
        <v>31</v>
      </c>
    </row>
    <row r="45" spans="1:11" ht="15.75" customHeight="1">
      <c r="A45" s="150" t="s">
        <v>57</v>
      </c>
      <c r="B45" s="201"/>
      <c r="C45" s="201"/>
      <c r="D45" s="201"/>
      <c r="E45" s="203"/>
      <c r="F45" s="203"/>
      <c r="G45" s="203"/>
      <c r="H45" s="201"/>
    </row>
    <row r="46" spans="1:11" ht="15.75">
      <c r="A46" s="150" t="s">
        <v>47</v>
      </c>
      <c r="B46" s="201">
        <v>2211</v>
      </c>
      <c r="C46" s="201">
        <v>321</v>
      </c>
      <c r="D46" s="201">
        <v>262</v>
      </c>
      <c r="E46" s="202">
        <f>'раздел с 11гр'!E46:E47+'раздел 1 13гр '!E46:E47+'раздел 1 13иные1'!E46:E47+'раздел 1 11гр иные'!E46:E47+'раздел 1 12гр иные '!E46:E47+внебюджет!E46</f>
        <v>268717.2</v>
      </c>
      <c r="F46" s="202">
        <f>'раздел с 11гр'!F46:F47+'раздел 1 13гр '!F46:F47+'раздел 1 13иные1'!F46:F47+'раздел 1 11гр иные'!F46:F47+'раздел 1 12гр иные '!F46:F47+внебюджет!F46</f>
        <v>192200</v>
      </c>
      <c r="G46" s="202">
        <f>'раздел с 11гр'!G46:G47+'раздел 1 13гр '!G46:G47+'раздел 1 13иные1'!G46:G47+'раздел 1 11гр иные'!G46:G47+'раздел 1 12гр иные '!G46:G47+внебюджет!G46</f>
        <v>192200</v>
      </c>
      <c r="H46" s="201" t="s">
        <v>31</v>
      </c>
    </row>
    <row r="47" spans="1:11" ht="31.5">
      <c r="A47" s="150" t="s">
        <v>58</v>
      </c>
      <c r="B47" s="201"/>
      <c r="C47" s="201"/>
      <c r="D47" s="201"/>
      <c r="E47" s="203"/>
      <c r="F47" s="203"/>
      <c r="G47" s="203"/>
      <c r="H47" s="201"/>
    </row>
    <row r="48" spans="1:11" ht="15.75">
      <c r="A48" s="150" t="s">
        <v>59</v>
      </c>
      <c r="B48" s="201">
        <v>2212</v>
      </c>
      <c r="C48" s="201">
        <v>323</v>
      </c>
      <c r="D48" s="201">
        <v>263</v>
      </c>
      <c r="E48" s="202">
        <f>'раздел с 11гр'!E48:E50+'раздел 1 13гр '!E48:E50+'раздел 1 13иные1'!E48:E50+'раздел 1 11гр иные'!E48:E50+'раздел 1 12гр иные '!E48:E50+внебюджет!E48</f>
        <v>45622.5</v>
      </c>
      <c r="F48" s="202">
        <f>'раздел с 11гр'!F48:F50+'раздел 1 13гр '!F48:F50+'раздел 1 13иные1'!F48:F50+'раздел 1 11гр иные'!F48:F50+'раздел 1 12гр иные '!F48:F50+внебюджет!F48</f>
        <v>19100</v>
      </c>
      <c r="G48" s="202">
        <f>'раздел с 11гр'!G48:G50+'раздел 1 13гр '!G48:G50+'раздел 1 13иные1'!G48:G50+'раздел 1 11гр иные'!G48:G50+'раздел 1 12гр иные '!G48:G50+внебюджет!G48</f>
        <v>19100</v>
      </c>
      <c r="H48" s="201"/>
    </row>
    <row r="49" spans="1:8" ht="15.75">
      <c r="A49" s="150" t="s">
        <v>60</v>
      </c>
      <c r="B49" s="201"/>
      <c r="C49" s="201"/>
      <c r="D49" s="201"/>
      <c r="E49" s="206"/>
      <c r="F49" s="206"/>
      <c r="G49" s="206"/>
      <c r="H49" s="201"/>
    </row>
    <row r="50" spans="1:8" ht="15.75">
      <c r="A50" s="150" t="s">
        <v>61</v>
      </c>
      <c r="B50" s="201"/>
      <c r="C50" s="201"/>
      <c r="D50" s="201"/>
      <c r="E50" s="203"/>
      <c r="F50" s="203"/>
      <c r="G50" s="203"/>
      <c r="H50" s="201"/>
    </row>
    <row r="51" spans="1:8" ht="15.75">
      <c r="A51" s="150" t="s">
        <v>62</v>
      </c>
      <c r="B51" s="148">
        <v>2220</v>
      </c>
      <c r="C51" s="148">
        <v>340</v>
      </c>
      <c r="D51" s="148"/>
      <c r="E51" s="149"/>
      <c r="F51" s="149"/>
      <c r="G51" s="149"/>
      <c r="H51" s="148" t="s">
        <v>31</v>
      </c>
    </row>
    <row r="52" spans="1:8" ht="15.75">
      <c r="A52" s="150" t="s">
        <v>63</v>
      </c>
      <c r="B52" s="148">
        <v>2230</v>
      </c>
      <c r="C52" s="148">
        <v>350</v>
      </c>
      <c r="D52" s="148"/>
      <c r="E52" s="149"/>
      <c r="F52" s="149"/>
      <c r="G52" s="149"/>
      <c r="H52" s="148" t="s">
        <v>31</v>
      </c>
    </row>
    <row r="53" spans="1:8" ht="15.75">
      <c r="A53" s="150" t="s">
        <v>64</v>
      </c>
      <c r="B53" s="148">
        <v>2240</v>
      </c>
      <c r="C53" s="148">
        <v>360</v>
      </c>
      <c r="D53" s="148"/>
      <c r="E53" s="149"/>
      <c r="F53" s="149"/>
      <c r="G53" s="149"/>
      <c r="H53" s="148" t="s">
        <v>31</v>
      </c>
    </row>
    <row r="54" spans="1:8" ht="15.75">
      <c r="A54" s="150" t="s">
        <v>65</v>
      </c>
      <c r="B54" s="148">
        <v>2300</v>
      </c>
      <c r="C54" s="148">
        <v>850</v>
      </c>
      <c r="D54" s="148"/>
      <c r="E54" s="149">
        <f>E57+E55+E58</f>
        <v>5019.76</v>
      </c>
      <c r="F54" s="173">
        <f t="shared" ref="F54:G54" si="1">F57+F55+F58</f>
        <v>10963</v>
      </c>
      <c r="G54" s="173">
        <f t="shared" si="1"/>
        <v>10963</v>
      </c>
      <c r="H54" s="148" t="s">
        <v>31</v>
      </c>
    </row>
    <row r="55" spans="1:8" ht="15.75">
      <c r="A55" s="150" t="s">
        <v>47</v>
      </c>
      <c r="B55" s="201">
        <v>2310</v>
      </c>
      <c r="C55" s="201">
        <v>851</v>
      </c>
      <c r="D55" s="201"/>
      <c r="E55" s="202"/>
      <c r="F55" s="210"/>
      <c r="G55" s="210"/>
      <c r="H55" s="201" t="s">
        <v>31</v>
      </c>
    </row>
    <row r="56" spans="1:8" ht="15.75">
      <c r="A56" s="150" t="s">
        <v>88</v>
      </c>
      <c r="B56" s="201"/>
      <c r="C56" s="201"/>
      <c r="D56" s="201"/>
      <c r="E56" s="203"/>
      <c r="F56" s="210"/>
      <c r="G56" s="210"/>
      <c r="H56" s="201"/>
    </row>
    <row r="57" spans="1:8" ht="15.75">
      <c r="A57" s="134" t="s">
        <v>66</v>
      </c>
      <c r="B57" s="148">
        <v>2320</v>
      </c>
      <c r="C57" s="148">
        <v>852</v>
      </c>
      <c r="D57" s="148"/>
      <c r="E57" s="149">
        <f>внебюджет!E57</f>
        <v>4000</v>
      </c>
      <c r="F57" s="173">
        <f>внебюджет!F57</f>
        <v>0</v>
      </c>
      <c r="G57" s="173">
        <f>внебюджет!G57</f>
        <v>0</v>
      </c>
      <c r="H57" s="148" t="s">
        <v>31</v>
      </c>
    </row>
    <row r="58" spans="1:8" ht="15.75">
      <c r="A58" s="134" t="s">
        <v>67</v>
      </c>
      <c r="B58" s="148">
        <v>2330</v>
      </c>
      <c r="C58" s="148">
        <v>853</v>
      </c>
      <c r="D58" s="148"/>
      <c r="E58" s="149">
        <f>'раздел с 11гр'!E58+'раздел 1 13гр '!E58+'раздел 1 13иные1'!E58+'раздел 1 11гр иные'!E58+'раздел 1 12гр иные '!E58+внебюджет!E58</f>
        <v>1019.76</v>
      </c>
      <c r="F58" s="173">
        <f>'раздел с 11гр'!F58+'раздел 1 13гр '!F58+'раздел 1 13иные1'!F58+'раздел 1 11гр иные'!F58+'раздел 1 12гр иные '!F58+внебюджет!F58</f>
        <v>10963</v>
      </c>
      <c r="G58" s="173">
        <f>'раздел с 11гр'!G58+'раздел 1 13гр '!G58+'раздел 1 13иные1'!G58+'раздел 1 11гр иные'!G58+'раздел 1 12гр иные '!G58+внебюджет!G58</f>
        <v>10963</v>
      </c>
      <c r="H58" s="148" t="s">
        <v>31</v>
      </c>
    </row>
    <row r="59" spans="1:8" ht="15.75">
      <c r="A59" s="150" t="s">
        <v>68</v>
      </c>
      <c r="B59" s="148">
        <v>2400</v>
      </c>
      <c r="C59" s="148" t="s">
        <v>31</v>
      </c>
      <c r="D59" s="148"/>
      <c r="E59" s="149">
        <f>E60</f>
        <v>0</v>
      </c>
      <c r="F59" s="149"/>
      <c r="G59" s="149"/>
      <c r="H59" s="148" t="s">
        <v>31</v>
      </c>
    </row>
    <row r="60" spans="1:8" ht="15.75">
      <c r="A60" s="150" t="s">
        <v>47</v>
      </c>
      <c r="B60" s="201">
        <v>2410</v>
      </c>
      <c r="C60" s="201">
        <v>810</v>
      </c>
      <c r="D60" s="201"/>
      <c r="E60" s="202"/>
      <c r="F60" s="210"/>
      <c r="G60" s="210"/>
      <c r="H60" s="201" t="s">
        <v>31</v>
      </c>
    </row>
    <row r="61" spans="1:8" ht="47.25">
      <c r="A61" s="150" t="s">
        <v>69</v>
      </c>
      <c r="B61" s="201"/>
      <c r="C61" s="201"/>
      <c r="D61" s="201"/>
      <c r="E61" s="203"/>
      <c r="F61" s="210"/>
      <c r="G61" s="210"/>
      <c r="H61" s="201"/>
    </row>
    <row r="62" spans="1:8" ht="15.75">
      <c r="A62" s="150" t="s">
        <v>70</v>
      </c>
      <c r="B62" s="148">
        <v>2500</v>
      </c>
      <c r="C62" s="148" t="s">
        <v>31</v>
      </c>
      <c r="D62" s="148"/>
      <c r="E62" s="149">
        <f>'раздел с 11гр'!E62+'раздел 1 13гр '!E62+'раздел 1 13иные1'!E62+'раздел 1 11гр иные'!E62+'раздел 1 12гр иные '!E62+внебюджет!E62</f>
        <v>0</v>
      </c>
      <c r="F62" s="173">
        <f>'раздел с 11гр'!F62+'раздел 1 13гр '!F62+'раздел 1 13иные1'!F62+'раздел 1 11гр иные'!F62+'раздел 1 12гр иные '!F62+внебюджет!F62</f>
        <v>50000</v>
      </c>
      <c r="G62" s="173">
        <f>'раздел с 11гр'!G62+'раздел 1 13гр '!G62+'раздел 1 13иные1'!G62+'раздел 1 11гр иные'!G62+'раздел 1 12гр иные '!G62+внебюджет!G62</f>
        <v>50000</v>
      </c>
      <c r="H62" s="148" t="s">
        <v>31</v>
      </c>
    </row>
    <row r="63" spans="1:8" ht="31.5">
      <c r="A63" s="150" t="s">
        <v>71</v>
      </c>
      <c r="B63" s="148">
        <v>2520</v>
      </c>
      <c r="C63" s="148">
        <v>831</v>
      </c>
      <c r="D63" s="148"/>
      <c r="E63" s="149">
        <f>внебюджет!E63</f>
        <v>0</v>
      </c>
      <c r="F63" s="173">
        <f>внебюджет!F63</f>
        <v>50000</v>
      </c>
      <c r="G63" s="173">
        <f>внебюджет!G63</f>
        <v>50000</v>
      </c>
      <c r="H63" s="148" t="s">
        <v>31</v>
      </c>
    </row>
    <row r="64" spans="1:8" ht="15.75">
      <c r="A64" s="132" t="s">
        <v>72</v>
      </c>
      <c r="B64" s="148">
        <v>2600</v>
      </c>
      <c r="C64" s="148" t="s">
        <v>31</v>
      </c>
      <c r="D64" s="148"/>
      <c r="E64" s="149">
        <f>'раздел с 11гр'!E64+'раздел 1 13гр '!E64+'раздел 1 13иные1'!E64+'раздел 1 11гр иные'!E64+'раздел 1 12гр иные '!E64+внебюджет!E64</f>
        <v>12809545</v>
      </c>
      <c r="F64" s="173">
        <f>'раздел с 11гр'!F64+'раздел 1 13гр '!F64+'раздел 1 13иные1'!F64+'раздел 1 11гр иные'!F64+'раздел 1 12гр иные '!F64+внебюджет!F64</f>
        <v>7009495</v>
      </c>
      <c r="G64" s="173">
        <f>'раздел с 11гр'!G64+'раздел 1 13гр '!G64+'раздел 1 13иные1'!G64+'раздел 1 11гр иные'!G64+'раздел 1 12гр иные '!G64+внебюджет!G64</f>
        <v>7009495</v>
      </c>
      <c r="H64" s="148"/>
    </row>
    <row r="65" spans="1:14" ht="15.75">
      <c r="A65" s="150" t="s">
        <v>33</v>
      </c>
      <c r="B65" s="201">
        <v>2610</v>
      </c>
      <c r="C65" s="201">
        <v>241</v>
      </c>
      <c r="D65" s="201"/>
      <c r="E65" s="202"/>
      <c r="F65" s="202"/>
      <c r="G65" s="202"/>
      <c r="H65" s="201"/>
    </row>
    <row r="66" spans="1:14" ht="15.75">
      <c r="A66" s="150" t="s">
        <v>73</v>
      </c>
      <c r="B66" s="201"/>
      <c r="C66" s="201"/>
      <c r="D66" s="201"/>
      <c r="E66" s="203"/>
      <c r="F66" s="203"/>
      <c r="G66" s="203"/>
      <c r="H66" s="201"/>
    </row>
    <row r="67" spans="1:14" ht="15.75">
      <c r="A67" s="150" t="s">
        <v>74</v>
      </c>
      <c r="B67" s="148">
        <v>2620</v>
      </c>
      <c r="C67" s="148">
        <v>242</v>
      </c>
      <c r="D67" s="148"/>
      <c r="E67" s="149"/>
      <c r="F67" s="149"/>
      <c r="G67" s="149"/>
      <c r="H67" s="148"/>
    </row>
    <row r="68" spans="1:14" ht="31.5">
      <c r="A68" s="150" t="s">
        <v>75</v>
      </c>
      <c r="B68" s="148">
        <v>2630</v>
      </c>
      <c r="C68" s="148">
        <v>243</v>
      </c>
      <c r="D68" s="148">
        <v>228</v>
      </c>
      <c r="E68" s="149">
        <f>'раздел с 11гр'!E68+'раздел 1 13гр '!E68+'раздел 1 13иные1'!E68+'раздел 1 11гр иные'!E68+'раздел 1 12гр иные '!E68+внебюджет!E68</f>
        <v>0</v>
      </c>
      <c r="F68" s="173">
        <f>'раздел с 11гр'!F68+'раздел 1 13гр '!F68+'раздел 1 13иные1'!F68+'раздел 1 11гр иные'!F68+'раздел 1 12гр иные '!F68+внебюджет!F68</f>
        <v>157000</v>
      </c>
      <c r="G68" s="173">
        <f>'раздел с 11гр'!G68+'раздел 1 13гр '!G68+'раздел 1 13иные1'!G68+'раздел 1 11гр иные'!G68+'раздел 1 12гр иные '!G68+внебюджет!G68</f>
        <v>157000</v>
      </c>
      <c r="H68" s="148"/>
      <c r="N68" s="156"/>
    </row>
    <row r="69" spans="1:14" ht="15.75">
      <c r="A69" s="150" t="s">
        <v>76</v>
      </c>
      <c r="B69" s="148">
        <v>2640</v>
      </c>
      <c r="C69" s="148"/>
      <c r="D69" s="148"/>
      <c r="E69" s="149">
        <f>'раздел с 11гр'!E69+'раздел 1 13гр '!E69+'раздел 1 13иные1'!E69+'раздел 1 11гр иные'!E69+'раздел 1 12гр иные '!E69+внебюджет!E69</f>
        <v>12809545</v>
      </c>
      <c r="F69" s="178">
        <f>'раздел с 11гр'!F69+'раздел 1 13гр '!F69+'раздел 1 13иные1'!F69+'раздел 1 11гр иные'!F69+'раздел 1 12гр иные '!F69+внебюджет!F69</f>
        <v>6852495</v>
      </c>
      <c r="G69" s="178">
        <f>'раздел с 11гр'!G69+'раздел 1 13гр '!G69+'раздел 1 13иные1'!G69+'раздел 1 11гр иные'!G69+'раздел 1 12гр иные '!G69+внебюджет!G69</f>
        <v>6852495</v>
      </c>
      <c r="H69" s="148"/>
      <c r="J69" s="156"/>
      <c r="K69" s="156"/>
      <c r="N69" s="156"/>
    </row>
    <row r="70" spans="1:14" ht="15.75">
      <c r="A70" s="150" t="s">
        <v>47</v>
      </c>
      <c r="B70" s="148"/>
      <c r="C70" s="148"/>
      <c r="D70" s="148"/>
      <c r="E70" s="149">
        <f>SUM(E71:E80)</f>
        <v>12809545</v>
      </c>
      <c r="F70" s="173">
        <f t="shared" ref="F70:G70" si="2">SUM(F71:F80)</f>
        <v>6852495</v>
      </c>
      <c r="G70" s="173">
        <f t="shared" si="2"/>
        <v>6852495</v>
      </c>
      <c r="H70" s="148"/>
      <c r="I70" s="156">
        <f>E69-E70</f>
        <v>0</v>
      </c>
      <c r="K70" s="156"/>
    </row>
    <row r="71" spans="1:14" ht="15.75">
      <c r="A71" s="150" t="s">
        <v>356</v>
      </c>
      <c r="B71" s="148"/>
      <c r="C71" s="148">
        <v>244</v>
      </c>
      <c r="D71" s="148">
        <v>221</v>
      </c>
      <c r="E71" s="149">
        <f>'раздел 1 13гр '!E71+внебюджет!E71</f>
        <v>50402</v>
      </c>
      <c r="F71" s="173">
        <f>'раздел 1 13гр '!F71+внебюджет!F71</f>
        <v>59442</v>
      </c>
      <c r="G71" s="173">
        <f>'раздел 1 13гр '!G71+внебюджет!G71</f>
        <v>59442</v>
      </c>
      <c r="H71" s="148"/>
    </row>
    <row r="72" spans="1:14" ht="15.75">
      <c r="A72" s="150" t="s">
        <v>326</v>
      </c>
      <c r="B72" s="148"/>
      <c r="C72" s="148">
        <v>244</v>
      </c>
      <c r="D72" s="148">
        <v>223</v>
      </c>
      <c r="E72" s="149">
        <f>'раздел с 11гр'!E71+'раздел 1 13гр '!E72+'раздел 1 13иные1'!E71+'раздел 1 11гр иные'!E71+'раздел 1 12гр иные '!E71+внебюджет!E73</f>
        <v>427515.08999999997</v>
      </c>
      <c r="F72" s="173">
        <f>'раздел с 11гр'!F71+'раздел 1 13гр '!F72+'раздел 1 13иные1'!F71+'раздел 1 11гр иные'!F71+'раздел 1 12гр иные '!F71+внебюджет!F73</f>
        <v>299412</v>
      </c>
      <c r="G72" s="173">
        <f>'раздел с 11гр'!G71+'раздел 1 13гр '!G72+'раздел 1 13иные1'!G71+'раздел 1 11гр иные'!G71+'раздел 1 12гр иные '!G71+внебюджет!G73</f>
        <v>299412</v>
      </c>
      <c r="H72" s="148"/>
      <c r="J72" s="156"/>
      <c r="K72" s="156"/>
    </row>
    <row r="73" spans="1:14" ht="15.75">
      <c r="A73" s="150" t="s">
        <v>326</v>
      </c>
      <c r="B73" s="148"/>
      <c r="C73" s="148">
        <v>247</v>
      </c>
      <c r="D73" s="148">
        <v>223</v>
      </c>
      <c r="E73" s="149">
        <f>'раздел 1 13гр '!E73+внебюджет!E74</f>
        <v>2935694.66</v>
      </c>
      <c r="F73" s="173">
        <f>'раздел 1 13гр '!F73+внебюджет!F74</f>
        <v>1768736</v>
      </c>
      <c r="G73" s="173">
        <f>'раздел 1 13гр '!G73+внебюджет!G74</f>
        <v>1917400</v>
      </c>
      <c r="H73" s="148"/>
      <c r="K73" s="156"/>
    </row>
    <row r="74" spans="1:14" ht="15.75">
      <c r="A74" s="150" t="s">
        <v>327</v>
      </c>
      <c r="B74" s="148"/>
      <c r="C74" s="148">
        <v>244</v>
      </c>
      <c r="D74" s="148">
        <v>225</v>
      </c>
      <c r="E74" s="149">
        <f>'раздел с 11гр'!E72+'раздел 1 13гр '!E74+'раздел 1 13иные1'!E72+'раздел 1 11гр иные'!E72+'раздел 1 12гр иные '!E72+внебюджет!E75</f>
        <v>3255447.03</v>
      </c>
      <c r="F74" s="173">
        <f>'раздел с 11гр'!F72+'раздел 1 13гр '!F74+'раздел 1 13иные1'!F72+'раздел 1 11гр иные'!F72+'раздел 1 12гр иные '!F72+внебюджет!F75</f>
        <v>1638933</v>
      </c>
      <c r="G74" s="173">
        <f>'раздел с 11гр'!G72+'раздел 1 13гр '!G74+'раздел 1 13иные1'!G72+'раздел 1 11гр иные'!G72+'раздел 1 12гр иные '!G72+внебюджет!G75</f>
        <v>1638933</v>
      </c>
      <c r="H74" s="148"/>
    </row>
    <row r="75" spans="1:14" ht="15.75">
      <c r="A75" s="150" t="s">
        <v>328</v>
      </c>
      <c r="B75" s="148"/>
      <c r="C75" s="148">
        <v>244</v>
      </c>
      <c r="D75" s="148">
        <v>226</v>
      </c>
      <c r="E75" s="149">
        <f>'раздел с 11гр'!E73+'раздел 1 13гр '!E75+'раздел 1 13иные1'!E73+'раздел 1 11гр иные'!E73+'раздел 1 12гр иные '!E73+внебюджет!E76</f>
        <v>3797477.9000000004</v>
      </c>
      <c r="F75" s="173">
        <f>'раздел с 11гр'!F73+'раздел 1 13гр '!F75+'раздел 1 13иные1'!F73+'раздел 1 11гр иные'!F73+'раздел 1 12гр иные '!F73+внебюджет!F76</f>
        <v>799484</v>
      </c>
      <c r="G75" s="173">
        <f>'раздел с 11гр'!G73+'раздел 1 13гр '!G75+'раздел 1 13иные1'!G73+'раздел 1 11гр иные'!G73+'раздел 1 12гр иные '!G73+внебюджет!G76</f>
        <v>650820</v>
      </c>
      <c r="H75" s="148"/>
    </row>
    <row r="76" spans="1:14" ht="15.75">
      <c r="A76" s="171" t="s">
        <v>379</v>
      </c>
      <c r="B76" s="172"/>
      <c r="C76" s="172"/>
      <c r="D76" s="172">
        <v>228</v>
      </c>
      <c r="E76" s="175">
        <f>'раздел 1 13иные1'!E74+'раздел 1 11гр иные'!E74+'раздел 1 12гр иные '!E68+внебюджет!E78</f>
        <v>210526.32</v>
      </c>
      <c r="F76" s="175">
        <f>'раздел 1 13иные1'!F74+'раздел 1 11гр иные'!F74+'раздел 1 12гр иные '!F68+внебюджет!F78</f>
        <v>0</v>
      </c>
      <c r="G76" s="175">
        <f>'раздел 1 13иные1'!G74+'раздел 1 11гр иные'!G74+'раздел 1 12гр иные '!G68+внебюджет!G78</f>
        <v>0</v>
      </c>
      <c r="H76" s="175"/>
    </row>
    <row r="77" spans="1:14" ht="15.75">
      <c r="A77" s="150" t="s">
        <v>331</v>
      </c>
      <c r="B77" s="148"/>
      <c r="C77" s="148">
        <v>244</v>
      </c>
      <c r="D77" s="148">
        <v>312</v>
      </c>
      <c r="E77" s="149">
        <f>'раздел с 11гр'!E74+'раздел 1 13гр '!E76+'раздел 1 13иные1'!E75+'раздел 1 11гр иные'!E75+'раздел 1 12гр иные '!E74+внебюджет!E79</f>
        <v>2078435</v>
      </c>
      <c r="F77" s="173">
        <f>'раздел с 11гр'!F74+'раздел 1 13гр '!F76+'раздел 1 13иные1'!F75+'раздел 1 11гр иные'!F75+'раздел 1 12гр иные '!F74+внебюджет!F79</f>
        <v>2062955</v>
      </c>
      <c r="G77" s="173">
        <f>'раздел с 11гр'!G74+'раздел 1 13гр '!G76+'раздел 1 13иные1'!G75+'раздел 1 11гр иные'!G75+'раздел 1 12гр иные '!G74+внебюджет!G79</f>
        <v>2062955</v>
      </c>
      <c r="H77" s="148"/>
    </row>
    <row r="78" spans="1:14" ht="15.75">
      <c r="A78" s="150" t="s">
        <v>365</v>
      </c>
      <c r="B78" s="148"/>
      <c r="C78" s="148"/>
      <c r="D78" s="148">
        <v>344</v>
      </c>
      <c r="E78" s="149">
        <f>внебюджет!E81</f>
        <v>4000</v>
      </c>
      <c r="F78" s="173">
        <f>внебюджет!F81</f>
        <v>101606</v>
      </c>
      <c r="G78" s="173">
        <f>внебюджет!G81</f>
        <v>101606</v>
      </c>
      <c r="H78" s="148"/>
    </row>
    <row r="79" spans="1:14" ht="15.75">
      <c r="A79" s="150" t="s">
        <v>366</v>
      </c>
      <c r="B79" s="148"/>
      <c r="C79" s="148"/>
      <c r="D79" s="148">
        <v>346</v>
      </c>
      <c r="E79" s="149">
        <f>'раздел 1 13гр '!E77+внебюджет!E83</f>
        <v>8726</v>
      </c>
      <c r="F79" s="173">
        <f>'раздел 1 13гр '!F77+внебюджет!F83</f>
        <v>101606</v>
      </c>
      <c r="G79" s="173">
        <f>'раздел 1 13гр '!G77+внебюджет!G83</f>
        <v>101606</v>
      </c>
      <c r="H79" s="148"/>
      <c r="J79" s="156"/>
    </row>
    <row r="80" spans="1:14" ht="15.75">
      <c r="A80" s="150" t="s">
        <v>367</v>
      </c>
      <c r="B80" s="148"/>
      <c r="C80" s="148"/>
      <c r="D80" s="148">
        <v>349</v>
      </c>
      <c r="E80" s="149">
        <f>внебюджет!E84</f>
        <v>41321</v>
      </c>
      <c r="F80" s="173">
        <f>внебюджет!F84</f>
        <v>20321</v>
      </c>
      <c r="G80" s="173">
        <f>внебюджет!G84</f>
        <v>20321</v>
      </c>
      <c r="H80" s="148"/>
    </row>
    <row r="81" spans="1:8" ht="15.75">
      <c r="A81" s="150" t="s">
        <v>330</v>
      </c>
      <c r="B81" s="148"/>
      <c r="C81" s="148"/>
      <c r="D81" s="148"/>
      <c r="E81" s="149"/>
      <c r="F81" s="149"/>
      <c r="G81" s="149"/>
      <c r="H81" s="148"/>
    </row>
    <row r="82" spans="1:8" ht="31.5">
      <c r="A82" s="150" t="s">
        <v>77</v>
      </c>
      <c r="B82" s="148">
        <v>2650</v>
      </c>
      <c r="C82" s="148">
        <v>400</v>
      </c>
      <c r="D82" s="148"/>
      <c r="E82" s="149">
        <f>E83+E85</f>
        <v>0</v>
      </c>
      <c r="F82" s="149"/>
      <c r="G82" s="149"/>
      <c r="H82" s="148"/>
    </row>
    <row r="83" spans="1:8" ht="15.75">
      <c r="A83" s="150" t="s">
        <v>33</v>
      </c>
      <c r="B83" s="201">
        <v>2651</v>
      </c>
      <c r="C83" s="201">
        <v>406</v>
      </c>
      <c r="D83" s="201"/>
      <c r="E83" s="210"/>
      <c r="F83" s="210"/>
      <c r="G83" s="210"/>
      <c r="H83" s="201"/>
    </row>
    <row r="84" spans="1:8" ht="15.75">
      <c r="A84" s="150" t="s">
        <v>78</v>
      </c>
      <c r="B84" s="201"/>
      <c r="C84" s="201"/>
      <c r="D84" s="201"/>
      <c r="E84" s="210"/>
      <c r="F84" s="210"/>
      <c r="G84" s="210"/>
      <c r="H84" s="201"/>
    </row>
    <row r="85" spans="1:8" ht="31.5">
      <c r="A85" s="150" t="s">
        <v>79</v>
      </c>
      <c r="B85" s="148">
        <v>2652</v>
      </c>
      <c r="C85" s="148">
        <v>407</v>
      </c>
      <c r="D85" s="148"/>
      <c r="E85" s="148"/>
      <c r="F85" s="148"/>
      <c r="G85" s="148"/>
      <c r="H85" s="148"/>
    </row>
    <row r="86" spans="1:8" ht="15.75">
      <c r="A86" s="135"/>
      <c r="B86" s="127"/>
      <c r="C86" s="127"/>
      <c r="D86" s="127"/>
      <c r="E86" s="127"/>
      <c r="F86" s="127"/>
      <c r="G86" s="127"/>
      <c r="H86" s="127"/>
    </row>
  </sheetData>
  <mergeCells count="105">
    <mergeCell ref="N12:AG12"/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G23:G24"/>
    <mergeCell ref="F23:F24"/>
    <mergeCell ref="E23:E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46:H47"/>
    <mergeCell ref="B48:B50"/>
    <mergeCell ref="C48:C50"/>
    <mergeCell ref="D48:D50"/>
    <mergeCell ref="E48:E50"/>
    <mergeCell ref="G48:G50"/>
    <mergeCell ref="H48:H50"/>
    <mergeCell ref="B46:B47"/>
    <mergeCell ref="C46:C47"/>
    <mergeCell ref="D46:D47"/>
    <mergeCell ref="E46:E47"/>
    <mergeCell ref="F46:F47"/>
    <mergeCell ref="G46:G47"/>
    <mergeCell ref="F48:F50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83:B84"/>
    <mergeCell ref="C83:C84"/>
    <mergeCell ref="D83:D84"/>
    <mergeCell ref="E83:E84"/>
    <mergeCell ref="F83:F84"/>
    <mergeCell ref="G83:G84"/>
    <mergeCell ref="H83:H84"/>
    <mergeCell ref="B65:B66"/>
    <mergeCell ref="C65:C66"/>
    <mergeCell ref="D65:D66"/>
    <mergeCell ref="E65:E66"/>
    <mergeCell ref="F65:F66"/>
    <mergeCell ref="G65:G66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</hyperlinks>
  <pageMargins left="0" right="0" top="0" bottom="0" header="0" footer="0"/>
  <pageSetup paperSize="9" scale="67" fitToHeight="2" orientation="landscape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L57"/>
  <sheetViews>
    <sheetView tabSelected="1" view="pageBreakPreview" topLeftCell="A31" zoomScale="60" workbookViewId="0">
      <selection activeCell="A52" sqref="A52:H52"/>
    </sheetView>
  </sheetViews>
  <sheetFormatPr defaultColWidth="9.140625" defaultRowHeight="18.75"/>
  <cols>
    <col min="1" max="1" width="10" style="14" customWidth="1"/>
    <col min="2" max="2" width="75.140625" style="14" customWidth="1"/>
    <col min="3" max="3" width="11.42578125" style="14" customWidth="1"/>
    <col min="4" max="4" width="12" style="14" customWidth="1"/>
    <col min="5" max="5" width="21.85546875" style="14" customWidth="1"/>
    <col min="6" max="6" width="24.28515625" style="14" customWidth="1"/>
    <col min="7" max="7" width="27.140625" style="14" customWidth="1"/>
    <col min="8" max="8" width="22.140625" style="14" customWidth="1"/>
    <col min="9" max="10" width="21.7109375" style="14" bestFit="1" customWidth="1"/>
    <col min="11" max="12" width="20.28515625" style="14" bestFit="1" customWidth="1"/>
    <col min="13" max="16384" width="9.140625" style="14"/>
  </cols>
  <sheetData>
    <row r="1" spans="1:12" ht="23.25">
      <c r="A1" s="223" t="s">
        <v>89</v>
      </c>
      <c r="B1" s="223"/>
      <c r="C1" s="223"/>
      <c r="D1" s="223"/>
      <c r="E1" s="223"/>
      <c r="F1" s="223"/>
      <c r="G1" s="223"/>
      <c r="H1" s="223"/>
    </row>
    <row r="2" spans="1:12">
      <c r="A2" s="13"/>
    </row>
    <row r="3" spans="1:12">
      <c r="A3" s="13"/>
    </row>
    <row r="4" spans="1:12">
      <c r="A4" s="224" t="s">
        <v>90</v>
      </c>
      <c r="B4" s="224" t="s">
        <v>27</v>
      </c>
      <c r="C4" s="224" t="s">
        <v>91</v>
      </c>
      <c r="D4" s="224" t="s">
        <v>92</v>
      </c>
      <c r="E4" s="224" t="s">
        <v>29</v>
      </c>
      <c r="F4" s="224"/>
      <c r="G4" s="224"/>
      <c r="H4" s="224"/>
    </row>
    <row r="5" spans="1:12" ht="56.25">
      <c r="A5" s="224"/>
      <c r="B5" s="224"/>
      <c r="C5" s="224"/>
      <c r="D5" s="224"/>
      <c r="E5" s="100" t="s">
        <v>348</v>
      </c>
      <c r="F5" s="100" t="s">
        <v>349</v>
      </c>
      <c r="G5" s="100" t="s">
        <v>350</v>
      </c>
      <c r="H5" s="99" t="s">
        <v>30</v>
      </c>
    </row>
    <row r="6" spans="1:12">
      <c r="A6" s="98">
        <v>1</v>
      </c>
      <c r="B6" s="99">
        <v>2</v>
      </c>
      <c r="C6" s="99">
        <v>3</v>
      </c>
      <c r="D6" s="99">
        <v>4</v>
      </c>
      <c r="E6" s="99">
        <v>5</v>
      </c>
      <c r="F6" s="99">
        <v>6</v>
      </c>
      <c r="G6" s="99">
        <v>7</v>
      </c>
      <c r="H6" s="99">
        <v>8</v>
      </c>
    </row>
    <row r="7" spans="1:12">
      <c r="A7" s="98">
        <v>1</v>
      </c>
      <c r="B7" s="19" t="s">
        <v>93</v>
      </c>
      <c r="C7" s="98">
        <v>26000</v>
      </c>
      <c r="D7" s="98" t="s">
        <v>31</v>
      </c>
      <c r="E7" s="183">
        <f>'раздел 1 ОБЩ'!E64</f>
        <v>12809545</v>
      </c>
      <c r="F7" s="183">
        <f>'раздел 1 ОБЩ'!F64</f>
        <v>7009495</v>
      </c>
      <c r="G7" s="183">
        <f>'раздел 1 ОБЩ'!G64</f>
        <v>7009495</v>
      </c>
      <c r="H7" s="97"/>
    </row>
    <row r="8" spans="1:12">
      <c r="A8" s="220" t="s">
        <v>94</v>
      </c>
      <c r="B8" s="21" t="s">
        <v>33</v>
      </c>
      <c r="C8" s="220">
        <v>26100</v>
      </c>
      <c r="D8" s="220" t="s">
        <v>31</v>
      </c>
      <c r="E8" s="221"/>
      <c r="F8" s="221"/>
      <c r="G8" s="221"/>
      <c r="H8" s="219"/>
    </row>
    <row r="9" spans="1:12" ht="170.25" customHeight="1">
      <c r="A9" s="220"/>
      <c r="B9" s="21" t="s">
        <v>130</v>
      </c>
      <c r="C9" s="220"/>
      <c r="D9" s="220"/>
      <c r="E9" s="221"/>
      <c r="F9" s="221"/>
      <c r="G9" s="221"/>
      <c r="H9" s="219"/>
    </row>
    <row r="10" spans="1:12" ht="75">
      <c r="A10" s="98" t="s">
        <v>95</v>
      </c>
      <c r="B10" s="21" t="s">
        <v>131</v>
      </c>
      <c r="C10" s="98">
        <v>26200</v>
      </c>
      <c r="D10" s="98" t="s">
        <v>31</v>
      </c>
      <c r="E10" s="118"/>
      <c r="F10" s="118"/>
      <c r="G10" s="118"/>
      <c r="H10" s="97"/>
    </row>
    <row r="11" spans="1:12" ht="75">
      <c r="A11" s="98" t="s">
        <v>96</v>
      </c>
      <c r="B11" s="21" t="s">
        <v>132</v>
      </c>
      <c r="C11" s="98">
        <v>26300</v>
      </c>
      <c r="D11" s="98" t="s">
        <v>31</v>
      </c>
      <c r="E11" s="118">
        <f>'раздел 1 ОБЩ'!E68</f>
        <v>0</v>
      </c>
      <c r="F11" s="179">
        <f>'раздел 1 ОБЩ'!F68</f>
        <v>157000</v>
      </c>
      <c r="G11" s="179">
        <f>'раздел 1 ОБЩ'!G68</f>
        <v>157000</v>
      </c>
      <c r="H11" s="97"/>
      <c r="I11" s="185"/>
      <c r="J11" s="185"/>
      <c r="K11" s="185"/>
      <c r="L11" s="185">
        <f t="shared" ref="L11" si="0">H13+H18+H27</f>
        <v>0</v>
      </c>
    </row>
    <row r="12" spans="1:12" ht="75">
      <c r="A12" s="98" t="s">
        <v>97</v>
      </c>
      <c r="B12" s="21" t="s">
        <v>133</v>
      </c>
      <c r="C12" s="98">
        <v>26400</v>
      </c>
      <c r="D12" s="98" t="s">
        <v>31</v>
      </c>
      <c r="E12" s="117">
        <f>'раздел 1 ОБЩ'!E69</f>
        <v>12809545</v>
      </c>
      <c r="F12" s="117">
        <f>'раздел 1 ОБЩ'!F69</f>
        <v>6852495</v>
      </c>
      <c r="G12" s="117">
        <f>'раздел 1 ОБЩ'!G69</f>
        <v>6852495</v>
      </c>
      <c r="H12" s="97"/>
      <c r="I12" s="185"/>
    </row>
    <row r="13" spans="1:12">
      <c r="A13" s="222" t="s">
        <v>388</v>
      </c>
      <c r="B13" s="22" t="s">
        <v>33</v>
      </c>
      <c r="C13" s="220">
        <v>26410</v>
      </c>
      <c r="D13" s="220" t="s">
        <v>31</v>
      </c>
      <c r="E13" s="221">
        <f>'раздел с 11гр'!E69+'раздел 1 13гр '!E69</f>
        <v>8516379.7799999993</v>
      </c>
      <c r="F13" s="221">
        <f>'раздел с 11гр'!F69+'раздел 1 13гр '!F69</f>
        <v>5864900</v>
      </c>
      <c r="G13" s="221">
        <f>'раздел с 11гр'!G69+'раздел 1 13гр '!G69</f>
        <v>5864900</v>
      </c>
      <c r="H13" s="219"/>
      <c r="I13" s="185"/>
    </row>
    <row r="14" spans="1:12" ht="37.5">
      <c r="A14" s="222"/>
      <c r="B14" s="22" t="s">
        <v>98</v>
      </c>
      <c r="C14" s="220"/>
      <c r="D14" s="220"/>
      <c r="E14" s="221"/>
      <c r="F14" s="221"/>
      <c r="G14" s="221"/>
      <c r="H14" s="219"/>
    </row>
    <row r="15" spans="1:12">
      <c r="A15" s="220" t="s">
        <v>99</v>
      </c>
      <c r="B15" s="23" t="s">
        <v>33</v>
      </c>
      <c r="C15" s="220">
        <v>26411</v>
      </c>
      <c r="D15" s="220" t="s">
        <v>31</v>
      </c>
      <c r="E15" s="221"/>
      <c r="F15" s="221"/>
      <c r="G15" s="221"/>
      <c r="H15" s="219"/>
    </row>
    <row r="16" spans="1:12">
      <c r="A16" s="220"/>
      <c r="B16" s="24" t="s">
        <v>100</v>
      </c>
      <c r="C16" s="220"/>
      <c r="D16" s="220"/>
      <c r="E16" s="221"/>
      <c r="F16" s="221"/>
      <c r="G16" s="221"/>
      <c r="H16" s="219"/>
    </row>
    <row r="17" spans="1:12" ht="37.5">
      <c r="A17" s="98" t="s">
        <v>101</v>
      </c>
      <c r="B17" s="23" t="s">
        <v>127</v>
      </c>
      <c r="C17" s="98">
        <v>26412</v>
      </c>
      <c r="D17" s="98" t="s">
        <v>31</v>
      </c>
      <c r="E17" s="184">
        <f>E13</f>
        <v>8516379.7799999993</v>
      </c>
      <c r="F17" s="184">
        <f t="shared" ref="F17:G17" si="1">F13</f>
        <v>5864900</v>
      </c>
      <c r="G17" s="184">
        <f t="shared" si="1"/>
        <v>5864900</v>
      </c>
      <c r="H17" s="97"/>
      <c r="J17" s="185"/>
      <c r="K17" s="185"/>
      <c r="L17" s="185"/>
    </row>
    <row r="18" spans="1:12" ht="37.5">
      <c r="A18" s="98" t="s">
        <v>102</v>
      </c>
      <c r="B18" s="22" t="s">
        <v>103</v>
      </c>
      <c r="C18" s="98">
        <v>26420</v>
      </c>
      <c r="D18" s="98" t="s">
        <v>31</v>
      </c>
      <c r="E18" s="174">
        <f>'раздел 1 13иные1'!E69+'раздел 1 11гр иные'!E69+'раздел 1 12гр иные '!E69</f>
        <v>3165814.22</v>
      </c>
      <c r="F18" s="179">
        <f>'раздел 1 13иные1'!F69+'раздел 1 11гр иные'!F69+'раздел 1 12гр иные '!F69</f>
        <v>0</v>
      </c>
      <c r="G18" s="179">
        <f>'раздел 1 13иные1'!G69+'раздел 1 11гр иные'!G69+'раздел 1 12гр иные '!G69</f>
        <v>0</v>
      </c>
      <c r="H18" s="97"/>
      <c r="J18" s="185"/>
      <c r="K18" s="185"/>
      <c r="L18" s="185"/>
    </row>
    <row r="19" spans="1:12">
      <c r="A19" s="220" t="s">
        <v>104</v>
      </c>
      <c r="B19" s="23" t="s">
        <v>33</v>
      </c>
      <c r="C19" s="220">
        <v>26421</v>
      </c>
      <c r="D19" s="220" t="s">
        <v>31</v>
      </c>
      <c r="E19" s="221"/>
      <c r="F19" s="221"/>
      <c r="G19" s="221"/>
      <c r="H19" s="219"/>
    </row>
    <row r="20" spans="1:12">
      <c r="A20" s="220"/>
      <c r="B20" s="24" t="s">
        <v>100</v>
      </c>
      <c r="C20" s="220"/>
      <c r="D20" s="220"/>
      <c r="E20" s="221"/>
      <c r="F20" s="221"/>
      <c r="G20" s="221"/>
      <c r="H20" s="219"/>
    </row>
    <row r="21" spans="1:12" ht="37.5">
      <c r="A21" s="98" t="s">
        <v>105</v>
      </c>
      <c r="B21" s="23" t="s">
        <v>127</v>
      </c>
      <c r="C21" s="98">
        <v>26422</v>
      </c>
      <c r="D21" s="98" t="s">
        <v>31</v>
      </c>
      <c r="E21" s="118">
        <f>E18</f>
        <v>3165814.22</v>
      </c>
      <c r="F21" s="174">
        <f t="shared" ref="F21:G21" si="2">F18</f>
        <v>0</v>
      </c>
      <c r="G21" s="174">
        <f t="shared" si="2"/>
        <v>0</v>
      </c>
      <c r="H21" s="97"/>
    </row>
    <row r="22" spans="1:12" ht="37.5">
      <c r="A22" s="98" t="s">
        <v>106</v>
      </c>
      <c r="B22" s="25" t="s">
        <v>107</v>
      </c>
      <c r="C22" s="98">
        <v>26430</v>
      </c>
      <c r="D22" s="98" t="s">
        <v>31</v>
      </c>
      <c r="E22" s="118"/>
      <c r="F22" s="118"/>
      <c r="G22" s="118"/>
      <c r="H22" s="97"/>
    </row>
    <row r="23" spans="1:12" ht="37.5">
      <c r="A23" s="98" t="s">
        <v>108</v>
      </c>
      <c r="B23" s="22" t="s">
        <v>109</v>
      </c>
      <c r="C23" s="98">
        <v>26440</v>
      </c>
      <c r="D23" s="98" t="s">
        <v>31</v>
      </c>
      <c r="E23" s="118"/>
      <c r="F23" s="118"/>
      <c r="G23" s="118"/>
      <c r="H23" s="97"/>
    </row>
    <row r="24" spans="1:12">
      <c r="A24" s="220" t="s">
        <v>110</v>
      </c>
      <c r="B24" s="23" t="s">
        <v>33</v>
      </c>
      <c r="C24" s="220">
        <v>26441</v>
      </c>
      <c r="D24" s="220" t="s">
        <v>31</v>
      </c>
      <c r="E24" s="221"/>
      <c r="F24" s="221"/>
      <c r="G24" s="221"/>
      <c r="H24" s="219"/>
    </row>
    <row r="25" spans="1:12">
      <c r="A25" s="220"/>
      <c r="B25" s="24" t="s">
        <v>111</v>
      </c>
      <c r="C25" s="220"/>
      <c r="D25" s="220"/>
      <c r="E25" s="221"/>
      <c r="F25" s="221"/>
      <c r="G25" s="221"/>
      <c r="H25" s="219"/>
    </row>
    <row r="26" spans="1:12">
      <c r="A26" s="98" t="s">
        <v>112</v>
      </c>
      <c r="B26" s="23" t="s">
        <v>128</v>
      </c>
      <c r="C26" s="98">
        <v>26442</v>
      </c>
      <c r="D26" s="98" t="s">
        <v>31</v>
      </c>
      <c r="E26" s="118"/>
      <c r="F26" s="118"/>
      <c r="G26" s="118"/>
      <c r="H26" s="97"/>
    </row>
    <row r="27" spans="1:12">
      <c r="A27" s="98" t="s">
        <v>113</v>
      </c>
      <c r="B27" s="22" t="s">
        <v>114</v>
      </c>
      <c r="C27" s="98">
        <v>26450</v>
      </c>
      <c r="D27" s="98" t="s">
        <v>31</v>
      </c>
      <c r="E27" s="146">
        <f>внебюджет!E69</f>
        <v>1127351</v>
      </c>
      <c r="F27" s="180">
        <f>внебюджет!F69</f>
        <v>987595</v>
      </c>
      <c r="G27" s="180">
        <f>внебюджет!G69</f>
        <v>987595</v>
      </c>
      <c r="H27" s="97"/>
    </row>
    <row r="28" spans="1:12">
      <c r="A28" s="220" t="s">
        <v>115</v>
      </c>
      <c r="B28" s="23" t="s">
        <v>33</v>
      </c>
      <c r="C28" s="220">
        <v>26451</v>
      </c>
      <c r="D28" s="220" t="s">
        <v>31</v>
      </c>
      <c r="E28" s="237"/>
      <c r="F28" s="237"/>
      <c r="G28" s="237"/>
      <c r="H28" s="219"/>
    </row>
    <row r="29" spans="1:12">
      <c r="A29" s="220"/>
      <c r="B29" s="27" t="s">
        <v>100</v>
      </c>
      <c r="C29" s="220"/>
      <c r="D29" s="220"/>
      <c r="E29" s="237"/>
      <c r="F29" s="237"/>
      <c r="G29" s="237"/>
      <c r="H29" s="219"/>
    </row>
    <row r="30" spans="1:12">
      <c r="A30" s="98" t="s">
        <v>116</v>
      </c>
      <c r="B30" s="27" t="s">
        <v>117</v>
      </c>
      <c r="C30" s="98">
        <v>26452</v>
      </c>
      <c r="D30" s="98" t="s">
        <v>31</v>
      </c>
      <c r="E30" s="146">
        <f>E27</f>
        <v>1127351</v>
      </c>
      <c r="F30" s="176">
        <f t="shared" ref="F30:G30" si="3">F27</f>
        <v>987595</v>
      </c>
      <c r="G30" s="176">
        <f t="shared" si="3"/>
        <v>987595</v>
      </c>
      <c r="H30" s="97"/>
    </row>
    <row r="31" spans="1:12" ht="75">
      <c r="A31" s="98" t="s">
        <v>118</v>
      </c>
      <c r="B31" s="26" t="s">
        <v>129</v>
      </c>
      <c r="C31" s="98">
        <v>26500</v>
      </c>
      <c r="D31" s="98" t="s">
        <v>31</v>
      </c>
      <c r="E31" s="146"/>
      <c r="F31" s="146"/>
      <c r="G31" s="146"/>
      <c r="H31" s="97"/>
    </row>
    <row r="32" spans="1:12">
      <c r="A32" s="97"/>
      <c r="B32" s="99" t="s">
        <v>119</v>
      </c>
      <c r="C32" s="99">
        <v>26510</v>
      </c>
      <c r="D32" s="99"/>
      <c r="E32" s="119"/>
      <c r="F32" s="119"/>
      <c r="G32" s="119"/>
      <c r="H32" s="99"/>
    </row>
    <row r="33" spans="1:8">
      <c r="A33" s="97"/>
      <c r="B33" s="99"/>
      <c r="C33" s="99"/>
      <c r="D33" s="99"/>
      <c r="E33" s="119"/>
      <c r="F33" s="119"/>
      <c r="G33" s="119"/>
      <c r="H33" s="99"/>
    </row>
    <row r="34" spans="1:8" ht="75">
      <c r="A34" s="98" t="s">
        <v>120</v>
      </c>
      <c r="B34" s="19" t="s">
        <v>121</v>
      </c>
      <c r="C34" s="98">
        <v>26600</v>
      </c>
      <c r="D34" s="98" t="s">
        <v>31</v>
      </c>
      <c r="E34" s="183">
        <f>E7</f>
        <v>12809545</v>
      </c>
      <c r="F34" s="183">
        <f t="shared" ref="F34:G34" si="4">F7</f>
        <v>7009495</v>
      </c>
      <c r="G34" s="183">
        <f t="shared" si="4"/>
        <v>7009495</v>
      </c>
      <c r="H34" s="97"/>
    </row>
    <row r="35" spans="1:8">
      <c r="A35" s="97"/>
      <c r="B35" s="99" t="s">
        <v>119</v>
      </c>
      <c r="C35" s="99">
        <v>26610</v>
      </c>
      <c r="D35" s="99"/>
      <c r="E35" s="119">
        <f>E34</f>
        <v>12809545</v>
      </c>
      <c r="F35" s="119">
        <f t="shared" ref="F35:G35" si="5">F34</f>
        <v>7009495</v>
      </c>
      <c r="G35" s="119">
        <f t="shared" si="5"/>
        <v>7009495</v>
      </c>
      <c r="H35" s="99"/>
    </row>
    <row r="36" spans="1:8">
      <c r="A36" s="97"/>
      <c r="B36" s="99"/>
      <c r="C36" s="99"/>
      <c r="D36" s="99"/>
      <c r="E36" s="119"/>
      <c r="F36" s="119"/>
      <c r="G36" s="119"/>
      <c r="H36" s="99"/>
    </row>
    <row r="37" spans="1:8">
      <c r="A37" s="15"/>
    </row>
    <row r="38" spans="1:8" s="16" customFormat="1">
      <c r="A38" s="216" t="s">
        <v>122</v>
      </c>
      <c r="B38" s="216"/>
      <c r="C38" s="216"/>
      <c r="D38" s="216"/>
      <c r="E38" s="216"/>
      <c r="F38" s="216"/>
      <c r="G38" s="216"/>
      <c r="H38" s="216"/>
    </row>
    <row r="39" spans="1:8" s="16" customFormat="1">
      <c r="A39" s="216" t="s">
        <v>339</v>
      </c>
      <c r="B39" s="216"/>
      <c r="C39" s="216"/>
      <c r="D39" s="216"/>
      <c r="E39" s="216"/>
      <c r="F39" s="216"/>
      <c r="G39" s="216"/>
      <c r="H39" s="216"/>
    </row>
    <row r="40" spans="1:8" s="16" customFormat="1">
      <c r="A40" s="216" t="s">
        <v>123</v>
      </c>
      <c r="B40" s="216"/>
      <c r="C40" s="216"/>
      <c r="D40" s="216"/>
      <c r="E40" s="216"/>
      <c r="F40" s="216"/>
      <c r="G40" s="216"/>
      <c r="H40" s="216"/>
    </row>
    <row r="41" spans="1:8" s="16" customFormat="1">
      <c r="A41" s="96"/>
      <c r="B41" s="96"/>
      <c r="C41" s="96"/>
      <c r="D41" s="96"/>
      <c r="E41" s="96"/>
      <c r="F41" s="96"/>
      <c r="G41" s="96"/>
      <c r="H41" s="96"/>
    </row>
    <row r="42" spans="1:8" s="16" customFormat="1">
      <c r="A42" s="216" t="s">
        <v>390</v>
      </c>
      <c r="B42" s="216"/>
      <c r="C42" s="216"/>
      <c r="D42" s="216"/>
      <c r="E42" s="216"/>
      <c r="F42" s="216"/>
      <c r="G42" s="216"/>
      <c r="H42" s="216"/>
    </row>
    <row r="43" spans="1:8" s="16" customFormat="1">
      <c r="A43" s="216" t="s">
        <v>341</v>
      </c>
      <c r="B43" s="216"/>
      <c r="C43" s="216"/>
      <c r="D43" s="216"/>
      <c r="E43" s="216"/>
      <c r="F43" s="216"/>
      <c r="G43" s="216"/>
      <c r="H43" s="216"/>
    </row>
    <row r="44" spans="1:8" s="16" customFormat="1">
      <c r="A44" s="96"/>
    </row>
    <row r="45" spans="1:8" s="16" customFormat="1">
      <c r="A45" s="216" t="s">
        <v>389</v>
      </c>
      <c r="B45" s="216"/>
      <c r="C45" s="216"/>
      <c r="D45" s="216"/>
      <c r="E45" s="216"/>
      <c r="F45" s="216"/>
      <c r="G45" s="216"/>
      <c r="H45" s="216"/>
    </row>
    <row r="46" spans="1:8" s="16" customFormat="1">
      <c r="A46" s="96"/>
    </row>
    <row r="47" spans="1:8" s="16" customFormat="1">
      <c r="A47" s="216" t="s">
        <v>124</v>
      </c>
      <c r="B47" s="216"/>
      <c r="C47" s="216"/>
      <c r="D47" s="216"/>
      <c r="E47" s="216"/>
      <c r="F47" s="216"/>
      <c r="G47" s="216"/>
      <c r="H47" s="216"/>
    </row>
    <row r="48" spans="1:8" s="16" customFormat="1" ht="9" customHeight="1">
      <c r="A48" s="96"/>
      <c r="B48" s="96"/>
      <c r="C48" s="96"/>
      <c r="D48" s="96"/>
      <c r="E48" s="96"/>
      <c r="F48" s="96"/>
      <c r="G48" s="96"/>
      <c r="H48" s="96"/>
    </row>
    <row r="49" spans="1:8" s="16" customFormat="1">
      <c r="A49" s="218" t="s">
        <v>342</v>
      </c>
      <c r="B49" s="216"/>
      <c r="C49" s="216"/>
      <c r="D49" s="216"/>
      <c r="E49" s="216"/>
      <c r="F49" s="216"/>
      <c r="G49" s="216"/>
      <c r="H49" s="216"/>
    </row>
    <row r="50" spans="1:8" s="16" customFormat="1">
      <c r="A50" s="216" t="s">
        <v>125</v>
      </c>
      <c r="B50" s="216"/>
      <c r="C50" s="216"/>
      <c r="D50" s="216"/>
      <c r="E50" s="216"/>
      <c r="F50" s="216"/>
      <c r="G50" s="216"/>
      <c r="H50" s="216"/>
    </row>
    <row r="51" spans="1:8" s="16" customFormat="1">
      <c r="A51" s="96"/>
      <c r="B51" s="96"/>
      <c r="C51" s="96"/>
      <c r="D51" s="96"/>
      <c r="E51" s="96"/>
      <c r="F51" s="96"/>
      <c r="G51" s="96"/>
      <c r="H51" s="96"/>
    </row>
    <row r="52" spans="1:8" s="16" customFormat="1">
      <c r="A52" s="216" t="s">
        <v>391</v>
      </c>
      <c r="B52" s="216"/>
      <c r="C52" s="216"/>
      <c r="D52" s="216"/>
      <c r="E52" s="216"/>
      <c r="F52" s="216"/>
      <c r="G52" s="216"/>
      <c r="H52" s="216"/>
    </row>
    <row r="53" spans="1:8" s="16" customFormat="1">
      <c r="A53" s="216" t="s">
        <v>126</v>
      </c>
      <c r="B53" s="216"/>
      <c r="C53" s="216"/>
      <c r="D53" s="216"/>
      <c r="E53" s="216"/>
      <c r="F53" s="216"/>
      <c r="G53" s="216"/>
      <c r="H53" s="216"/>
    </row>
    <row r="54" spans="1:8" s="16" customFormat="1">
      <c r="A54" s="96"/>
    </row>
    <row r="55" spans="1:8" s="16" customFormat="1">
      <c r="A55" s="216" t="s">
        <v>389</v>
      </c>
      <c r="B55" s="216"/>
      <c r="C55" s="216"/>
      <c r="D55" s="216"/>
      <c r="E55" s="216"/>
      <c r="F55" s="216"/>
      <c r="G55" s="216"/>
      <c r="H55" s="216"/>
    </row>
    <row r="56" spans="1:8" s="16" customFormat="1">
      <c r="A56" s="96"/>
    </row>
    <row r="57" spans="1:8" s="16" customFormat="1">
      <c r="A57" s="96"/>
    </row>
  </sheetData>
  <mergeCells count="60">
    <mergeCell ref="A1:H1"/>
    <mergeCell ref="A4:A5"/>
    <mergeCell ref="B4:B5"/>
    <mergeCell ref="C4:C5"/>
    <mergeCell ref="D4:D5"/>
    <mergeCell ref="E4:H4"/>
    <mergeCell ref="H8:H9"/>
    <mergeCell ref="A13:A14"/>
    <mergeCell ref="C13:C14"/>
    <mergeCell ref="D13:D14"/>
    <mergeCell ref="E13:E14"/>
    <mergeCell ref="F13:F14"/>
    <mergeCell ref="G13:G14"/>
    <mergeCell ref="H13:H14"/>
    <mergeCell ref="A8:A9"/>
    <mergeCell ref="C8:C9"/>
    <mergeCell ref="D8:D9"/>
    <mergeCell ref="E8:E9"/>
    <mergeCell ref="F8:F9"/>
    <mergeCell ref="G8:G9"/>
    <mergeCell ref="H15:H16"/>
    <mergeCell ref="A19:A20"/>
    <mergeCell ref="C19:C20"/>
    <mergeCell ref="D19:D20"/>
    <mergeCell ref="E19:E20"/>
    <mergeCell ref="F19:F20"/>
    <mergeCell ref="G19:G20"/>
    <mergeCell ref="H19:H20"/>
    <mergeCell ref="A15:A16"/>
    <mergeCell ref="C15:C16"/>
    <mergeCell ref="D15:D16"/>
    <mergeCell ref="E15:E16"/>
    <mergeCell ref="F15:F16"/>
    <mergeCell ref="G15:G16"/>
    <mergeCell ref="H24:H25"/>
    <mergeCell ref="A28:A29"/>
    <mergeCell ref="C28:C29"/>
    <mergeCell ref="D28:D29"/>
    <mergeCell ref="E28:E29"/>
    <mergeCell ref="F28:F29"/>
    <mergeCell ref="G28:G29"/>
    <mergeCell ref="H28:H29"/>
    <mergeCell ref="A24:A25"/>
    <mergeCell ref="C24:C25"/>
    <mergeCell ref="D24:D25"/>
    <mergeCell ref="E24:E25"/>
    <mergeCell ref="F24:F25"/>
    <mergeCell ref="G24:G25"/>
    <mergeCell ref="A55:H55"/>
    <mergeCell ref="A38:H38"/>
    <mergeCell ref="A39:H39"/>
    <mergeCell ref="A40:H40"/>
    <mergeCell ref="A42:H42"/>
    <mergeCell ref="A43:H43"/>
    <mergeCell ref="A45:H45"/>
    <mergeCell ref="A47:H47"/>
    <mergeCell ref="A49:H49"/>
    <mergeCell ref="A50:H50"/>
    <mergeCell ref="A52:H52"/>
    <mergeCell ref="A53:H53"/>
  </mergeCells>
  <hyperlinks>
    <hyperlink ref="A1" location="P1116" display="P1116"/>
    <hyperlink ref="B7" location="P1117" display="P1117"/>
    <hyperlink ref="B16" r:id="rId1" display="consultantplus://offline/ref=FF37134FA53EF84CFB8C456484DD62A4420BB46BBE6B93B9DC5783F5A394B82136748C4F5C9EF377BD868F2A13O2t6K"/>
    <hyperlink ref="B20" r:id="rId2" display="consultantplus://offline/ref=FF37134FA53EF84CFB8C456484DD62A4420BB46BBE6B93B9DC5783F5A394B82136748C4F5C9EF377BD868F2A13O2t6K"/>
    <hyperlink ref="B22" location="P1121" display="P1121"/>
    <hyperlink ref="B25" r:id="rId3" display="consultantplus://offline/ref=FF37134FA53EF84CFB8C456484DD62A4420BB46BBE6B93B9DC5783F5A394B82136748C4F5C9EF377BD868F2A13O2t6K"/>
    <hyperlink ref="B29" r:id="rId4" display="consultantplus://offline/ref=FF37134FA53EF84CFB8C456484DD62A4420BB46BBE6B93B9DC5783F5A394B82136748C4F5C9EF377BD868F2A13O2t6K"/>
    <hyperlink ref="B30" r:id="rId5" display="consultantplus://offline/ref=FF37134FA53EF84CFB8C456484DD62A44208BE69BF6E93B9DC5783F5A394B82136748C4F5C9EF377BD868F2A13O2t6K"/>
    <hyperlink ref="B34" r:id="rId6" display="consultantplus://offline/ref=FF37134FA53EF84CFB8C456484DD62A44208BE69BF6E93B9DC5783F5A394B82136748C4F5C9EF377BD868F2A13O2t6K"/>
  </hyperlinks>
  <pageMargins left="0" right="0" top="0" bottom="0" header="0" footer="0"/>
  <pageSetup paperSize="9" scale="70" orientation="landscape" r:id="rId7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67"/>
  <sheetViews>
    <sheetView view="pageBreakPreview" topLeftCell="A38" zoomScale="60" workbookViewId="0">
      <selection activeCell="A10" sqref="A10:E10"/>
    </sheetView>
  </sheetViews>
  <sheetFormatPr defaultRowHeight="15"/>
  <cols>
    <col min="1" max="5" width="27.85546875" customWidth="1"/>
    <col min="6" max="6" width="9.85546875" bestFit="1" customWidth="1"/>
    <col min="8" max="8" width="11.140625" bestFit="1" customWidth="1"/>
  </cols>
  <sheetData>
    <row r="1" spans="1:5" ht="18.75">
      <c r="A1" s="1"/>
      <c r="D1" s="187" t="s">
        <v>134</v>
      </c>
      <c r="E1" s="187"/>
    </row>
    <row r="2" spans="1:5" ht="18.75">
      <c r="A2" s="1"/>
      <c r="D2" s="187" t="s">
        <v>1</v>
      </c>
      <c r="E2" s="187"/>
    </row>
    <row r="3" spans="1:5" ht="37.5" customHeight="1">
      <c r="A3" s="1"/>
      <c r="D3" s="187" t="s">
        <v>135</v>
      </c>
      <c r="E3" s="187"/>
    </row>
    <row r="4" spans="1:5" ht="37.5" customHeight="1">
      <c r="A4" s="1"/>
      <c r="D4" s="187" t="s">
        <v>136</v>
      </c>
      <c r="E4" s="187"/>
    </row>
    <row r="5" spans="1:5" ht="18.75">
      <c r="A5" s="2"/>
    </row>
    <row r="6" spans="1:5" ht="18.75">
      <c r="A6" s="188" t="s">
        <v>137</v>
      </c>
      <c r="B6" s="188"/>
      <c r="C6" s="188"/>
      <c r="D6" s="188"/>
      <c r="E6" s="188"/>
    </row>
    <row r="7" spans="1:5" ht="18.75">
      <c r="A7" s="188" t="s">
        <v>138</v>
      </c>
      <c r="B7" s="188"/>
      <c r="C7" s="188"/>
      <c r="D7" s="188"/>
      <c r="E7" s="188"/>
    </row>
    <row r="8" spans="1:5" ht="18.75">
      <c r="A8" s="188" t="s">
        <v>139</v>
      </c>
      <c r="B8" s="188"/>
      <c r="C8" s="188"/>
      <c r="D8" s="188"/>
      <c r="E8" s="188"/>
    </row>
    <row r="9" spans="1:5" ht="41.25" customHeight="1">
      <c r="A9" s="190" t="s">
        <v>258</v>
      </c>
      <c r="B9" s="190"/>
      <c r="C9" s="190"/>
      <c r="D9" s="190"/>
      <c r="E9" s="190"/>
    </row>
    <row r="10" spans="1:5" ht="18.75">
      <c r="A10" s="188" t="s">
        <v>352</v>
      </c>
      <c r="B10" s="188"/>
      <c r="C10" s="188"/>
      <c r="D10" s="188"/>
      <c r="E10" s="188"/>
    </row>
    <row r="11" spans="1:5" ht="18.75">
      <c r="A11" s="81"/>
    </row>
    <row r="12" spans="1:5" ht="18.75">
      <c r="A12" s="200" t="s">
        <v>140</v>
      </c>
      <c r="B12" s="200"/>
      <c r="C12" s="200"/>
      <c r="D12" s="200"/>
      <c r="E12" s="200"/>
    </row>
    <row r="13" spans="1:5" ht="18.75">
      <c r="A13" s="81"/>
    </row>
    <row r="14" spans="1:5" ht="31.5">
      <c r="A14" s="29" t="s">
        <v>90</v>
      </c>
      <c r="B14" s="29" t="s">
        <v>27</v>
      </c>
      <c r="C14" s="29" t="s">
        <v>141</v>
      </c>
      <c r="D14" s="29" t="s">
        <v>142</v>
      </c>
      <c r="E14" s="29" t="s">
        <v>143</v>
      </c>
    </row>
    <row r="15" spans="1:5" ht="15.75">
      <c r="A15" s="87">
        <v>1</v>
      </c>
      <c r="B15" s="87">
        <v>2</v>
      </c>
      <c r="C15" s="87">
        <v>3</v>
      </c>
      <c r="D15" s="87">
        <v>4</v>
      </c>
      <c r="E15" s="87">
        <v>5</v>
      </c>
    </row>
    <row r="16" spans="1:5" ht="18.75">
      <c r="A16" s="31"/>
      <c r="B16" s="31"/>
      <c r="C16" s="31"/>
      <c r="D16" s="31"/>
      <c r="E16" s="31"/>
    </row>
    <row r="17" spans="1:8" ht="18.75">
      <c r="A17" s="31"/>
      <c r="B17" s="31"/>
      <c r="C17" s="31"/>
      <c r="D17" s="31"/>
      <c r="E17" s="31"/>
    </row>
    <row r="18" spans="1:8" ht="18.75">
      <c r="A18" s="31"/>
      <c r="B18" s="32" t="s">
        <v>144</v>
      </c>
      <c r="C18" s="33" t="s">
        <v>145</v>
      </c>
      <c r="D18" s="33" t="s">
        <v>145</v>
      </c>
      <c r="E18" s="31"/>
    </row>
    <row r="19" spans="1:8" ht="18.75">
      <c r="A19" s="28"/>
    </row>
    <row r="20" spans="1:8" ht="36.75" customHeight="1">
      <c r="A20" s="187" t="s">
        <v>146</v>
      </c>
      <c r="B20" s="187"/>
      <c r="C20" s="187"/>
      <c r="D20" s="187"/>
      <c r="E20" s="187"/>
    </row>
    <row r="21" spans="1:8" ht="46.5" customHeight="1">
      <c r="A21" s="238" t="s">
        <v>332</v>
      </c>
      <c r="B21" s="238"/>
      <c r="C21" s="238"/>
      <c r="D21" s="238"/>
      <c r="E21" s="238"/>
    </row>
    <row r="22" spans="1:8" ht="31.5">
      <c r="A22" s="83" t="s">
        <v>90</v>
      </c>
      <c r="B22" s="83" t="s">
        <v>148</v>
      </c>
      <c r="C22" s="83" t="s">
        <v>149</v>
      </c>
      <c r="D22" s="83" t="s">
        <v>150</v>
      </c>
      <c r="E22" s="83" t="s">
        <v>143</v>
      </c>
    </row>
    <row r="23" spans="1:8" ht="15.75">
      <c r="A23" s="83">
        <v>1</v>
      </c>
      <c r="B23" s="83">
        <v>2</v>
      </c>
      <c r="C23" s="83">
        <v>3</v>
      </c>
      <c r="D23" s="83">
        <v>4</v>
      </c>
      <c r="E23" s="83">
        <v>5</v>
      </c>
    </row>
    <row r="24" spans="1:8" ht="37.5">
      <c r="A24" s="47">
        <v>1</v>
      </c>
      <c r="B24" s="47" t="s">
        <v>333</v>
      </c>
      <c r="C24" s="47">
        <v>2</v>
      </c>
      <c r="D24" s="93">
        <f>E24/C24</f>
        <v>15480</v>
      </c>
      <c r="E24" s="47">
        <v>30960</v>
      </c>
    </row>
    <row r="25" spans="1:8" ht="150">
      <c r="A25" s="47">
        <v>1</v>
      </c>
      <c r="B25" s="47" t="s">
        <v>334</v>
      </c>
      <c r="C25" s="47">
        <v>955</v>
      </c>
      <c r="D25" s="93">
        <f>E25/C25</f>
        <v>33931.518324607328</v>
      </c>
      <c r="E25" s="47">
        <f>28035700+2936400+1432500</f>
        <v>32404600</v>
      </c>
    </row>
    <row r="26" spans="1:8" ht="84.75" hidden="1" customHeight="1">
      <c r="A26" s="47"/>
      <c r="B26" s="47"/>
      <c r="C26" s="47"/>
      <c r="D26" s="47"/>
      <c r="E26" s="47"/>
    </row>
    <row r="27" spans="1:8" ht="84.75" hidden="1" customHeight="1">
      <c r="A27" s="47"/>
      <c r="B27" s="47"/>
      <c r="C27" s="47"/>
      <c r="D27" s="47"/>
      <c r="E27" s="47"/>
    </row>
    <row r="28" spans="1:8" ht="93.75">
      <c r="A28" s="47">
        <v>2</v>
      </c>
      <c r="B28" s="47" t="s">
        <v>335</v>
      </c>
      <c r="C28" s="47"/>
      <c r="D28" s="47"/>
      <c r="E28" s="47"/>
      <c r="F28" t="s">
        <v>336</v>
      </c>
      <c r="H28">
        <f>E29-34707300</f>
        <v>-2271740</v>
      </c>
    </row>
    <row r="29" spans="1:8" ht="18.75">
      <c r="A29" s="47"/>
      <c r="B29" s="83" t="s">
        <v>144</v>
      </c>
      <c r="C29" s="47">
        <v>1032</v>
      </c>
      <c r="D29" s="47" t="s">
        <v>145</v>
      </c>
      <c r="E29" s="47">
        <f>E25+E24</f>
        <v>32435560</v>
      </c>
    </row>
    <row r="30" spans="1:8" ht="18.75">
      <c r="A30" s="81"/>
    </row>
    <row r="31" spans="1:8" ht="46.5" customHeight="1">
      <c r="A31" s="238" t="s">
        <v>337</v>
      </c>
      <c r="B31" s="238"/>
      <c r="C31" s="238"/>
      <c r="D31" s="238"/>
      <c r="E31" s="238"/>
    </row>
    <row r="32" spans="1:8" ht="31.5">
      <c r="A32" s="83" t="s">
        <v>90</v>
      </c>
      <c r="B32" s="83" t="s">
        <v>148</v>
      </c>
      <c r="C32" s="83" t="s">
        <v>149</v>
      </c>
      <c r="D32" s="83" t="s">
        <v>150</v>
      </c>
      <c r="E32" s="83" t="s">
        <v>143</v>
      </c>
    </row>
    <row r="33" spans="1:8" ht="15.75">
      <c r="A33" s="83">
        <v>1</v>
      </c>
      <c r="B33" s="83">
        <v>2</v>
      </c>
      <c r="C33" s="83">
        <v>3</v>
      </c>
      <c r="D33" s="83">
        <v>4</v>
      </c>
      <c r="E33" s="83">
        <v>5</v>
      </c>
    </row>
    <row r="34" spans="1:8" ht="37.5">
      <c r="A34" s="47">
        <v>1</v>
      </c>
      <c r="B34" s="47" t="s">
        <v>333</v>
      </c>
      <c r="C34" s="47">
        <v>2</v>
      </c>
      <c r="D34" s="93">
        <f>E34/C34</f>
        <v>6020</v>
      </c>
      <c r="E34" s="47">
        <v>12040</v>
      </c>
    </row>
    <row r="35" spans="1:8" ht="150">
      <c r="A35" s="47">
        <v>1</v>
      </c>
      <c r="B35" s="47" t="s">
        <v>334</v>
      </c>
      <c r="C35" s="47">
        <v>955</v>
      </c>
      <c r="D35" s="47">
        <f>E35/C35</f>
        <v>5974.4502617801045</v>
      </c>
      <c r="E35" s="47">
        <f>6291940-574300-12040</f>
        <v>5705600</v>
      </c>
      <c r="H35">
        <f>E34+E38</f>
        <v>586340</v>
      </c>
    </row>
    <row r="36" spans="1:8" ht="27.75" hidden="1" customHeight="1">
      <c r="A36" s="47"/>
      <c r="B36" s="47"/>
      <c r="C36" s="47"/>
      <c r="D36" s="47"/>
      <c r="E36" s="47"/>
    </row>
    <row r="37" spans="1:8" ht="27.75" hidden="1" customHeight="1">
      <c r="A37" s="47"/>
      <c r="B37" s="47"/>
      <c r="C37" s="47"/>
      <c r="D37" s="47"/>
      <c r="E37" s="47"/>
    </row>
    <row r="38" spans="1:8" ht="93.75">
      <c r="A38" s="47">
        <v>2</v>
      </c>
      <c r="B38" s="47" t="s">
        <v>335</v>
      </c>
      <c r="C38" s="47"/>
      <c r="D38" s="47"/>
      <c r="E38" s="47">
        <v>574300</v>
      </c>
      <c r="F38" t="s">
        <v>336</v>
      </c>
      <c r="H38">
        <f>E29+E39</f>
        <v>38727500</v>
      </c>
    </row>
    <row r="39" spans="1:8" ht="18.75">
      <c r="A39" s="47"/>
      <c r="B39" s="83" t="s">
        <v>144</v>
      </c>
      <c r="C39" s="47" t="s">
        <v>145</v>
      </c>
      <c r="D39" s="47" t="s">
        <v>145</v>
      </c>
      <c r="E39" s="47">
        <f>E34+E35+E38</f>
        <v>6291940</v>
      </c>
      <c r="H39">
        <f>41390460-H38</f>
        <v>2662960</v>
      </c>
    </row>
    <row r="40" spans="1:8" ht="38.25" customHeight="1">
      <c r="A40" s="187" t="s">
        <v>151</v>
      </c>
      <c r="B40" s="187"/>
      <c r="C40" s="187"/>
      <c r="D40" s="187"/>
      <c r="E40" s="187"/>
    </row>
    <row r="41" spans="1:8" ht="18.75">
      <c r="A41" s="81"/>
    </row>
    <row r="42" spans="1:8" ht="31.5">
      <c r="A42" s="29" t="s">
        <v>90</v>
      </c>
      <c r="B42" s="29" t="s">
        <v>148</v>
      </c>
      <c r="C42" s="29" t="s">
        <v>152</v>
      </c>
      <c r="D42" s="29" t="s">
        <v>153</v>
      </c>
      <c r="E42" s="29" t="s">
        <v>143</v>
      </c>
    </row>
    <row r="43" spans="1:8" ht="15.75">
      <c r="A43" s="87">
        <v>1</v>
      </c>
      <c r="B43" s="87">
        <v>2</v>
      </c>
      <c r="C43" s="87">
        <v>3</v>
      </c>
      <c r="D43" s="87">
        <v>4</v>
      </c>
      <c r="E43" s="87">
        <v>5</v>
      </c>
    </row>
    <row r="44" spans="1:8" ht="18.75">
      <c r="A44" s="31"/>
      <c r="B44" s="31"/>
      <c r="C44" s="31"/>
      <c r="D44" s="31"/>
      <c r="E44" s="31"/>
    </row>
    <row r="45" spans="1:8" ht="18.75">
      <c r="A45" s="31"/>
      <c r="B45" s="32" t="s">
        <v>144</v>
      </c>
      <c r="C45" s="33" t="s">
        <v>145</v>
      </c>
      <c r="D45" s="33" t="s">
        <v>145</v>
      </c>
      <c r="E45" s="31"/>
    </row>
    <row r="46" spans="1:8" ht="18.75">
      <c r="A46" s="81"/>
    </row>
    <row r="47" spans="1:8" ht="36" customHeight="1">
      <c r="A47" s="187" t="s">
        <v>154</v>
      </c>
      <c r="B47" s="187"/>
      <c r="C47" s="187"/>
      <c r="D47" s="187"/>
      <c r="E47" s="187"/>
    </row>
    <row r="48" spans="1:8" ht="18.75">
      <c r="A48" s="81"/>
    </row>
    <row r="49" spans="1:5" ht="31.5">
      <c r="A49" s="29" t="s">
        <v>90</v>
      </c>
      <c r="B49" s="29" t="s">
        <v>155</v>
      </c>
      <c r="C49" s="29" t="s">
        <v>156</v>
      </c>
      <c r="D49" s="29" t="s">
        <v>157</v>
      </c>
      <c r="E49" s="29" t="s">
        <v>143</v>
      </c>
    </row>
    <row r="50" spans="1:5" ht="15.75">
      <c r="A50" s="87">
        <v>1</v>
      </c>
      <c r="B50" s="87">
        <v>2</v>
      </c>
      <c r="C50" s="87">
        <v>3</v>
      </c>
      <c r="D50" s="87">
        <v>4</v>
      </c>
      <c r="E50" s="87">
        <v>5</v>
      </c>
    </row>
    <row r="51" spans="1:5" ht="18.75">
      <c r="A51" s="31"/>
      <c r="B51" s="31"/>
      <c r="C51" s="31"/>
      <c r="D51" s="31"/>
      <c r="E51" s="31"/>
    </row>
    <row r="52" spans="1:5" ht="18.75">
      <c r="A52" s="31"/>
      <c r="B52" s="31"/>
      <c r="C52" s="31"/>
      <c r="D52" s="31"/>
      <c r="E52" s="31"/>
    </row>
    <row r="53" spans="1:5" ht="18.75">
      <c r="A53" s="31"/>
      <c r="B53" s="32" t="s">
        <v>144</v>
      </c>
      <c r="C53" s="33" t="s">
        <v>145</v>
      </c>
      <c r="D53" s="33" t="s">
        <v>145</v>
      </c>
      <c r="E53" s="31"/>
    </row>
    <row r="54" spans="1:5" ht="18.75">
      <c r="A54" s="4"/>
    </row>
    <row r="55" spans="1:5" ht="18.75">
      <c r="A55" s="187" t="s">
        <v>158</v>
      </c>
      <c r="B55" s="187"/>
      <c r="C55" s="187"/>
      <c r="D55" s="187"/>
      <c r="E55" s="187"/>
    </row>
    <row r="56" spans="1:5" ht="18.75">
      <c r="A56" s="81"/>
    </row>
    <row r="57" spans="1:5" ht="31.5">
      <c r="A57" s="29" t="s">
        <v>90</v>
      </c>
      <c r="B57" s="29" t="s">
        <v>159</v>
      </c>
      <c r="C57" s="29" t="s">
        <v>160</v>
      </c>
    </row>
    <row r="58" spans="1:5" ht="15.75">
      <c r="A58" s="87">
        <v>1</v>
      </c>
      <c r="B58" s="87">
        <v>2</v>
      </c>
      <c r="C58" s="87">
        <v>3</v>
      </c>
    </row>
    <row r="59" spans="1:5" ht="18.75">
      <c r="A59" s="31"/>
      <c r="B59" s="31"/>
      <c r="C59" s="31"/>
    </row>
    <row r="60" spans="1:5" ht="18.75">
      <c r="A60" s="31"/>
      <c r="B60" s="31"/>
      <c r="C60" s="31"/>
    </row>
    <row r="61" spans="1:5" ht="18.75">
      <c r="A61" s="31"/>
      <c r="B61" s="87" t="s">
        <v>144</v>
      </c>
      <c r="C61" s="31"/>
    </row>
    <row r="62" spans="1:5" ht="18.75">
      <c r="A62" s="81"/>
    </row>
    <row r="63" spans="1:5" ht="18.75">
      <c r="A63" s="4"/>
    </row>
    <row r="64" spans="1:5" ht="18.75">
      <c r="A64" s="4"/>
    </row>
    <row r="65" spans="1:1" ht="18.75">
      <c r="A65" s="4"/>
    </row>
    <row r="66" spans="1:1" ht="18.75">
      <c r="A66" s="4"/>
    </row>
    <row r="67" spans="1:1" ht="18.75">
      <c r="A67" s="4"/>
    </row>
  </sheetData>
  <mergeCells count="16">
    <mergeCell ref="A31:E31"/>
    <mergeCell ref="A40:E40"/>
    <mergeCell ref="A47:E47"/>
    <mergeCell ref="A55:E55"/>
    <mergeCell ref="A8:E8"/>
    <mergeCell ref="A9:E9"/>
    <mergeCell ref="A10:E10"/>
    <mergeCell ref="A12:E12"/>
    <mergeCell ref="A20:E20"/>
    <mergeCell ref="A21:E21"/>
    <mergeCell ref="A7:E7"/>
    <mergeCell ref="D1:E1"/>
    <mergeCell ref="D2:E2"/>
    <mergeCell ref="D3:E3"/>
    <mergeCell ref="D4:E4"/>
    <mergeCell ref="A6:E6"/>
  </mergeCells>
  <pageMargins left="0" right="0" top="0" bottom="0" header="0" footer="0"/>
  <pageSetup paperSize="9" scale="60" orientation="landscape" r:id="rId1"/>
  <rowBreaks count="1" manualBreakCount="1">
    <brk id="33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L58"/>
  <sheetViews>
    <sheetView view="pageBreakPreview" zoomScale="60" workbookViewId="0">
      <selection activeCell="F41" sqref="F41"/>
    </sheetView>
  </sheetViews>
  <sheetFormatPr defaultRowHeight="15"/>
  <cols>
    <col min="1" max="9" width="18" customWidth="1"/>
    <col min="10" max="10" width="18" hidden="1" customWidth="1"/>
    <col min="11" max="11" width="20.28515625" customWidth="1"/>
    <col min="12" max="12" width="0" hidden="1" customWidth="1"/>
  </cols>
  <sheetData>
    <row r="1" spans="1:12" ht="18.75">
      <c r="A1" s="198" t="s">
        <v>161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8.75">
      <c r="A2" s="72"/>
    </row>
    <row r="3" spans="1:12" ht="48" customHeight="1">
      <c r="A3" s="190" t="s">
        <v>287</v>
      </c>
      <c r="B3" s="190"/>
      <c r="C3" s="190"/>
      <c r="D3" s="190"/>
      <c r="E3" s="190"/>
      <c r="F3" s="190"/>
      <c r="G3" s="190"/>
      <c r="H3" s="190"/>
      <c r="I3" s="190"/>
      <c r="J3" s="71"/>
      <c r="K3" s="71"/>
      <c r="L3" s="71"/>
    </row>
    <row r="4" spans="1:12" ht="18.75">
      <c r="A4" s="239" t="s">
        <v>288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1:12" ht="18.75">
      <c r="A5" s="34"/>
    </row>
    <row r="6" spans="1:12" ht="18.75">
      <c r="A6" s="188" t="s">
        <v>162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31.5" customHeight="1">
      <c r="A7" s="241" t="s">
        <v>90</v>
      </c>
      <c r="B7" s="241" t="s">
        <v>163</v>
      </c>
      <c r="C7" s="241" t="s">
        <v>164</v>
      </c>
      <c r="D7" s="241" t="s">
        <v>165</v>
      </c>
      <c r="E7" s="241"/>
      <c r="F7" s="241"/>
      <c r="G7" s="241"/>
      <c r="H7" s="241" t="s">
        <v>166</v>
      </c>
      <c r="I7" s="241" t="s">
        <v>167</v>
      </c>
      <c r="J7" s="241" t="s">
        <v>302</v>
      </c>
      <c r="K7" s="241" t="s">
        <v>168</v>
      </c>
    </row>
    <row r="8" spans="1:12" ht="15.75">
      <c r="A8" s="241"/>
      <c r="B8" s="241"/>
      <c r="C8" s="241"/>
      <c r="D8" s="241" t="s">
        <v>169</v>
      </c>
      <c r="E8" s="241" t="s">
        <v>33</v>
      </c>
      <c r="F8" s="241"/>
      <c r="G8" s="241"/>
      <c r="H8" s="241"/>
      <c r="I8" s="241"/>
      <c r="J8" s="241"/>
      <c r="K8" s="241"/>
    </row>
    <row r="9" spans="1:12" ht="47.25">
      <c r="A9" s="241"/>
      <c r="B9" s="241"/>
      <c r="C9" s="241"/>
      <c r="D9" s="241"/>
      <c r="E9" s="30" t="s">
        <v>170</v>
      </c>
      <c r="F9" s="30" t="s">
        <v>171</v>
      </c>
      <c r="G9" s="30" t="s">
        <v>172</v>
      </c>
      <c r="H9" s="241"/>
      <c r="I9" s="241"/>
      <c r="J9" s="241"/>
      <c r="K9" s="241"/>
    </row>
    <row r="10" spans="1:12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88">
        <v>10</v>
      </c>
    </row>
    <row r="11" spans="1:12" ht="15.75">
      <c r="A11" s="30">
        <v>1</v>
      </c>
      <c r="B11" s="30" t="s">
        <v>303</v>
      </c>
      <c r="C11" s="60">
        <v>1</v>
      </c>
      <c r="D11" s="60">
        <f>E11+F11+G11</f>
        <v>32483.7</v>
      </c>
      <c r="E11" s="60">
        <v>12258</v>
      </c>
      <c r="F11" s="60"/>
      <c r="G11" s="60">
        <v>20225.7</v>
      </c>
      <c r="H11" s="60"/>
      <c r="I11" s="60">
        <v>4872.5600000000004</v>
      </c>
      <c r="J11" s="60">
        <f>I11+D11</f>
        <v>37356.26</v>
      </c>
      <c r="K11" s="101">
        <f>J11*K21</f>
        <v>593429.55110279005</v>
      </c>
    </row>
    <row r="12" spans="1:12" ht="31.5">
      <c r="A12" s="30">
        <v>2</v>
      </c>
      <c r="B12" s="30" t="s">
        <v>304</v>
      </c>
      <c r="C12" s="60">
        <v>4</v>
      </c>
      <c r="D12" s="60">
        <f t="shared" ref="D12:D18" si="0">E12+F12+G12</f>
        <v>48520</v>
      </c>
      <c r="E12" s="60">
        <f>11032*C12</f>
        <v>44128</v>
      </c>
      <c r="F12" s="60"/>
      <c r="G12" s="60">
        <v>4392</v>
      </c>
      <c r="H12" s="60"/>
      <c r="I12" s="60">
        <f t="shared" ref="I12:I18" si="1">D12*0.15</f>
        <v>7278</v>
      </c>
      <c r="J12" s="60">
        <f t="shared" ref="J12:J18" si="2">I12+D12</f>
        <v>55798</v>
      </c>
      <c r="K12" s="101">
        <f>J12*K21</f>
        <v>886389.11102004</v>
      </c>
    </row>
    <row r="13" spans="1:12" ht="31.5" hidden="1">
      <c r="A13" s="30">
        <v>3</v>
      </c>
      <c r="B13" s="30" t="s">
        <v>305</v>
      </c>
      <c r="C13" s="60"/>
      <c r="D13" s="60">
        <f t="shared" si="0"/>
        <v>0</v>
      </c>
      <c r="E13" s="60">
        <f>9481*C13</f>
        <v>0</v>
      </c>
      <c r="F13" s="60"/>
      <c r="G13" s="60"/>
      <c r="H13" s="60"/>
      <c r="I13" s="60">
        <f t="shared" si="1"/>
        <v>0</v>
      </c>
      <c r="J13" s="60">
        <f t="shared" si="2"/>
        <v>0</v>
      </c>
      <c r="K13" s="101">
        <f>J13*K21</f>
        <v>0</v>
      </c>
    </row>
    <row r="14" spans="1:12" ht="15.75">
      <c r="A14" s="30">
        <v>3</v>
      </c>
      <c r="B14" s="30" t="s">
        <v>316</v>
      </c>
      <c r="C14" s="60">
        <v>2.5</v>
      </c>
      <c r="D14" s="60">
        <f t="shared" si="0"/>
        <v>30324.5</v>
      </c>
      <c r="E14" s="60">
        <f>C14*5771</f>
        <v>14427.5</v>
      </c>
      <c r="F14" s="60"/>
      <c r="G14" s="60">
        <v>15897</v>
      </c>
      <c r="H14" s="60"/>
      <c r="I14" s="60">
        <f t="shared" si="1"/>
        <v>4548.6750000000002</v>
      </c>
      <c r="J14" s="60">
        <f t="shared" si="2"/>
        <v>34873.175000000003</v>
      </c>
      <c r="K14" s="101">
        <f>J14*K21</f>
        <v>553984.06012216001</v>
      </c>
    </row>
    <row r="15" spans="1:12" ht="31.5">
      <c r="A15" s="30">
        <v>4</v>
      </c>
      <c r="B15" s="30" t="s">
        <v>306</v>
      </c>
      <c r="C15" s="60">
        <v>1</v>
      </c>
      <c r="D15" s="60">
        <f t="shared" si="0"/>
        <v>12130</v>
      </c>
      <c r="E15" s="60">
        <f>7832*C15</f>
        <v>7832</v>
      </c>
      <c r="F15" s="60"/>
      <c r="G15" s="60">
        <v>4298</v>
      </c>
      <c r="H15" s="60"/>
      <c r="I15" s="60">
        <f t="shared" si="1"/>
        <v>1819.5</v>
      </c>
      <c r="J15" s="60">
        <f t="shared" si="2"/>
        <v>13949.5</v>
      </c>
      <c r="K15" s="101">
        <f>J15*K21</f>
        <v>221597.27775501</v>
      </c>
    </row>
    <row r="16" spans="1:12" ht="15.75" hidden="1">
      <c r="A16" s="30">
        <v>5</v>
      </c>
      <c r="B16" s="30" t="s">
        <v>307</v>
      </c>
      <c r="C16" s="60"/>
      <c r="D16" s="60">
        <f t="shared" si="0"/>
        <v>0</v>
      </c>
      <c r="E16" s="60"/>
      <c r="F16" s="60"/>
      <c r="G16" s="60"/>
      <c r="H16" s="60"/>
      <c r="I16" s="60">
        <f t="shared" si="1"/>
        <v>0</v>
      </c>
      <c r="J16" s="60">
        <f t="shared" si="2"/>
        <v>0</v>
      </c>
      <c r="K16" s="101">
        <f>J16*K21</f>
        <v>0</v>
      </c>
    </row>
    <row r="17" spans="1:12" ht="15.75" hidden="1">
      <c r="A17" s="30"/>
      <c r="B17" s="30"/>
      <c r="C17" s="60"/>
      <c r="D17" s="60">
        <f t="shared" si="0"/>
        <v>0</v>
      </c>
      <c r="E17" s="60"/>
      <c r="F17" s="60"/>
      <c r="G17" s="60"/>
      <c r="H17" s="60"/>
      <c r="I17" s="60">
        <f t="shared" si="1"/>
        <v>0</v>
      </c>
      <c r="J17" s="60">
        <f t="shared" si="2"/>
        <v>0</v>
      </c>
      <c r="K17" s="101">
        <f>J17*K21</f>
        <v>0</v>
      </c>
    </row>
    <row r="18" spans="1:12" ht="15.75" hidden="1">
      <c r="A18" s="30"/>
      <c r="B18" s="30"/>
      <c r="C18" s="60"/>
      <c r="D18" s="60">
        <f t="shared" si="0"/>
        <v>0</v>
      </c>
      <c r="E18" s="60"/>
      <c r="F18" s="60"/>
      <c r="G18" s="60"/>
      <c r="H18" s="60"/>
      <c r="I18" s="60">
        <f t="shared" si="1"/>
        <v>0</v>
      </c>
      <c r="J18" s="60">
        <f t="shared" si="2"/>
        <v>0</v>
      </c>
      <c r="K18" s="101">
        <f>J18*K21</f>
        <v>0</v>
      </c>
    </row>
    <row r="19" spans="1:12" ht="15.75">
      <c r="A19" s="30"/>
      <c r="B19" s="30" t="s">
        <v>308</v>
      </c>
      <c r="C19" s="60">
        <f>C11+C12+C13+C14+C15+C16+C17+C18</f>
        <v>8.5</v>
      </c>
      <c r="D19" s="60">
        <f t="shared" ref="D19:K19" si="3">D11+D12+D13+D14+D15+D16+D17+D18</f>
        <v>123458.2</v>
      </c>
      <c r="E19" s="60">
        <f t="shared" si="3"/>
        <v>78645.5</v>
      </c>
      <c r="F19" s="60">
        <f t="shared" si="3"/>
        <v>0</v>
      </c>
      <c r="G19" s="60">
        <f t="shared" si="3"/>
        <v>44812.7</v>
      </c>
      <c r="H19" s="60">
        <f t="shared" si="3"/>
        <v>0</v>
      </c>
      <c r="I19" s="60">
        <f t="shared" si="3"/>
        <v>18518.735000000001</v>
      </c>
      <c r="J19" s="60">
        <f t="shared" si="3"/>
        <v>141976.935</v>
      </c>
      <c r="K19" s="60">
        <f t="shared" si="3"/>
        <v>2255400</v>
      </c>
      <c r="L19" s="30">
        <f>L12+L13</f>
        <v>0</v>
      </c>
    </row>
    <row r="20" spans="1:12" ht="15.75">
      <c r="A20" s="30"/>
      <c r="B20" s="30"/>
      <c r="C20" s="60"/>
      <c r="D20" s="60"/>
      <c r="E20" s="60"/>
      <c r="F20" s="60"/>
      <c r="G20" s="60"/>
      <c r="H20" s="60"/>
      <c r="I20" s="60"/>
      <c r="J20" s="60"/>
      <c r="K20" s="102">
        <f>2211400+44000</f>
        <v>2255400</v>
      </c>
    </row>
    <row r="21" spans="1:12" ht="25.5" customHeight="1">
      <c r="A21" s="30"/>
      <c r="B21" s="30"/>
      <c r="C21" s="60"/>
      <c r="D21" s="60"/>
      <c r="E21" s="60"/>
      <c r="F21" s="60"/>
      <c r="G21" s="60"/>
      <c r="H21" s="60"/>
      <c r="I21" s="60"/>
      <c r="J21" s="60"/>
      <c r="K21" s="102">
        <f>K20/J19</f>
        <v>15.885678895660059</v>
      </c>
    </row>
    <row r="22" spans="1:12" ht="25.5" customHeight="1">
      <c r="A22" s="30">
        <v>1</v>
      </c>
      <c r="B22" s="30" t="s">
        <v>309</v>
      </c>
      <c r="C22" s="60">
        <v>70.082999999999998</v>
      </c>
      <c r="D22" s="60">
        <f t="shared" ref="D22:D30" si="4">E22+F22+G22</f>
        <v>1237505.3900000001</v>
      </c>
      <c r="E22" s="60">
        <v>617921.81000000006</v>
      </c>
      <c r="F22" s="60">
        <v>5694.26</v>
      </c>
      <c r="G22" s="60">
        <v>613889.31999999995</v>
      </c>
      <c r="H22" s="60"/>
      <c r="I22" s="60">
        <f>D22*0.15</f>
        <v>185625.80850000001</v>
      </c>
      <c r="J22" s="60">
        <f>I22+D22</f>
        <v>1423131.1985000002</v>
      </c>
      <c r="K22" s="101">
        <f>J22*K34</f>
        <v>18189965.12204333</v>
      </c>
    </row>
    <row r="23" spans="1:12" ht="15.75">
      <c r="A23" s="30">
        <v>2</v>
      </c>
      <c r="B23" s="30" t="s">
        <v>310</v>
      </c>
      <c r="C23" s="60">
        <v>4</v>
      </c>
      <c r="D23" s="60">
        <f t="shared" si="4"/>
        <v>55110.400000000001</v>
      </c>
      <c r="E23" s="60">
        <f>C23*8611</f>
        <v>34444</v>
      </c>
      <c r="F23" s="60">
        <v>0</v>
      </c>
      <c r="G23" s="60">
        <v>20666.400000000001</v>
      </c>
      <c r="H23" s="60"/>
      <c r="I23" s="60">
        <f t="shared" ref="I23:I30" si="5">D23*0.15</f>
        <v>8266.56</v>
      </c>
      <c r="J23" s="60">
        <f>I23+D23</f>
        <v>63376.959999999999</v>
      </c>
      <c r="K23" s="101">
        <f>J23*K34</f>
        <v>810062.13141573186</v>
      </c>
    </row>
    <row r="24" spans="1:12" ht="30.75" customHeight="1">
      <c r="A24" s="30">
        <v>3</v>
      </c>
      <c r="B24" s="30" t="s">
        <v>311</v>
      </c>
      <c r="C24" s="60">
        <v>1.75</v>
      </c>
      <c r="D24" s="60">
        <f t="shared" si="4"/>
        <v>21227.5</v>
      </c>
      <c r="E24" s="60">
        <f>C24*8817</f>
        <v>15429.75</v>
      </c>
      <c r="F24" s="60">
        <v>2314.46</v>
      </c>
      <c r="G24" s="60">
        <v>3483.29</v>
      </c>
      <c r="H24" s="60"/>
      <c r="I24" s="60">
        <f t="shared" si="5"/>
        <v>3184.125</v>
      </c>
      <c r="J24" s="60">
        <f t="shared" ref="J24:J30" si="6">I24+D24</f>
        <v>24411.625</v>
      </c>
      <c r="K24" s="101">
        <f>J24*K34</f>
        <v>312020.85077639518</v>
      </c>
    </row>
    <row r="25" spans="1:12" ht="31.5">
      <c r="A25" s="30">
        <v>4</v>
      </c>
      <c r="B25" s="30" t="s">
        <v>312</v>
      </c>
      <c r="C25" s="60">
        <v>2</v>
      </c>
      <c r="D25" s="60">
        <f t="shared" si="4"/>
        <v>24260</v>
      </c>
      <c r="E25" s="60">
        <f>C25*8611</f>
        <v>17222</v>
      </c>
      <c r="F25" s="60">
        <v>1291.6500000000001</v>
      </c>
      <c r="G25" s="60">
        <v>5746.35</v>
      </c>
      <c r="H25" s="60"/>
      <c r="I25" s="60">
        <f t="shared" si="5"/>
        <v>3639</v>
      </c>
      <c r="J25" s="60">
        <f t="shared" si="6"/>
        <v>27899</v>
      </c>
      <c r="K25" s="101">
        <f>J25*K34</f>
        <v>356595.25803016592</v>
      </c>
    </row>
    <row r="26" spans="1:12" ht="31.5">
      <c r="A26" s="30">
        <v>4</v>
      </c>
      <c r="B26" s="30" t="s">
        <v>313</v>
      </c>
      <c r="C26" s="60">
        <v>2.5</v>
      </c>
      <c r="D26" s="60">
        <f t="shared" si="4"/>
        <v>34880.76</v>
      </c>
      <c r="E26" s="60">
        <f>C26*8405</f>
        <v>21012.5</v>
      </c>
      <c r="F26" s="60">
        <v>3151.88</v>
      </c>
      <c r="G26" s="60">
        <v>10716.38</v>
      </c>
      <c r="H26" s="60"/>
      <c r="I26" s="60">
        <f t="shared" si="5"/>
        <v>5232.1140000000005</v>
      </c>
      <c r="J26" s="60">
        <f t="shared" si="6"/>
        <v>40112.874000000003</v>
      </c>
      <c r="K26" s="101">
        <f>J26*K34</f>
        <v>512708.72269119089</v>
      </c>
    </row>
    <row r="27" spans="1:12" ht="47.25">
      <c r="A27" s="30">
        <v>5</v>
      </c>
      <c r="B27" s="30" t="s">
        <v>314</v>
      </c>
      <c r="C27" s="60">
        <v>4.22</v>
      </c>
      <c r="D27" s="60">
        <f t="shared" si="4"/>
        <v>55131.33</v>
      </c>
      <c r="E27" s="60">
        <f>C27*8405</f>
        <v>35469.1</v>
      </c>
      <c r="F27" s="60"/>
      <c r="G27" s="60">
        <v>19662.23</v>
      </c>
      <c r="H27" s="60"/>
      <c r="I27" s="60">
        <f t="shared" si="5"/>
        <v>8269.6995000000006</v>
      </c>
      <c r="J27" s="60">
        <f t="shared" si="6"/>
        <v>63401.029500000004</v>
      </c>
      <c r="K27" s="101">
        <f>J27*K34</f>
        <v>810369.77934444475</v>
      </c>
    </row>
    <row r="28" spans="1:12" ht="47.25">
      <c r="A28" s="30">
        <v>6</v>
      </c>
      <c r="B28" s="89" t="s">
        <v>315</v>
      </c>
      <c r="C28" s="60">
        <v>1</v>
      </c>
      <c r="D28" s="60">
        <f t="shared" si="4"/>
        <v>12343.8</v>
      </c>
      <c r="E28" s="60">
        <f>C28*8817</f>
        <v>8817</v>
      </c>
      <c r="F28" s="60"/>
      <c r="G28" s="60">
        <v>3526.8</v>
      </c>
      <c r="H28" s="60"/>
      <c r="I28" s="60">
        <f t="shared" si="5"/>
        <v>1851.5699999999997</v>
      </c>
      <c r="J28" s="60">
        <f t="shared" si="6"/>
        <v>14195.369999999999</v>
      </c>
      <c r="K28" s="101">
        <f>J28*K34</f>
        <v>181440.25334182859</v>
      </c>
    </row>
    <row r="29" spans="1:12" ht="31.5">
      <c r="A29" s="30">
        <v>7</v>
      </c>
      <c r="B29" s="89" t="s">
        <v>317</v>
      </c>
      <c r="C29" s="60">
        <v>1</v>
      </c>
      <c r="D29" s="60">
        <f t="shared" si="4"/>
        <v>12130</v>
      </c>
      <c r="E29" s="60">
        <f>C29*7787</f>
        <v>7787</v>
      </c>
      <c r="F29" s="60"/>
      <c r="G29" s="60">
        <v>4343</v>
      </c>
      <c r="H29" s="60"/>
      <c r="I29" s="60">
        <f t="shared" si="5"/>
        <v>1819.5</v>
      </c>
      <c r="J29" s="60">
        <f t="shared" si="6"/>
        <v>13949.5</v>
      </c>
      <c r="K29" s="101">
        <f>J29*K34</f>
        <v>178297.62901508296</v>
      </c>
    </row>
    <row r="30" spans="1:12" ht="31.5">
      <c r="A30" s="30">
        <v>8</v>
      </c>
      <c r="B30" s="91" t="s">
        <v>318</v>
      </c>
      <c r="C30" s="60">
        <v>1</v>
      </c>
      <c r="D30" s="60">
        <f t="shared" si="4"/>
        <v>12343.8</v>
      </c>
      <c r="E30" s="60">
        <f>C30*8817</f>
        <v>8817</v>
      </c>
      <c r="F30" s="60"/>
      <c r="G30" s="60">
        <v>3526.8</v>
      </c>
      <c r="H30" s="60"/>
      <c r="I30" s="60">
        <f t="shared" si="5"/>
        <v>1851.5699999999997</v>
      </c>
      <c r="J30" s="60">
        <f t="shared" si="6"/>
        <v>14195.369999999999</v>
      </c>
      <c r="K30" s="101">
        <f>J30*K34</f>
        <v>181440.25334182859</v>
      </c>
    </row>
    <row r="31" spans="1:12" ht="15.75">
      <c r="A31" s="30"/>
      <c r="B31" s="30"/>
      <c r="C31" s="60"/>
      <c r="D31" s="60"/>
      <c r="E31" s="60"/>
      <c r="F31" s="60"/>
      <c r="G31" s="60"/>
      <c r="H31" s="60"/>
      <c r="I31" s="60"/>
      <c r="J31" s="60"/>
      <c r="K31" s="101"/>
    </row>
    <row r="32" spans="1:12" ht="15.75">
      <c r="A32" s="240" t="s">
        <v>144</v>
      </c>
      <c r="B32" s="240"/>
      <c r="C32" s="60">
        <f>C22+C23+C24+C25+C26+C27+C28+C29+C30</f>
        <v>87.552999999999997</v>
      </c>
      <c r="D32" s="60">
        <f t="shared" ref="D32:K32" si="7">D22+D23+D24+D25+D26+D27+D28+D29+D30</f>
        <v>1464932.9800000002</v>
      </c>
      <c r="E32" s="60">
        <f t="shared" si="7"/>
        <v>766920.16</v>
      </c>
      <c r="F32" s="60">
        <f t="shared" si="7"/>
        <v>12452.25</v>
      </c>
      <c r="G32" s="60">
        <f t="shared" si="7"/>
        <v>685560.57000000007</v>
      </c>
      <c r="H32" s="60">
        <f t="shared" si="7"/>
        <v>0</v>
      </c>
      <c r="I32" s="60">
        <f t="shared" si="7"/>
        <v>219739.94700000001</v>
      </c>
      <c r="J32" s="60">
        <f t="shared" si="7"/>
        <v>1684672.9270000004</v>
      </c>
      <c r="K32" s="60">
        <f t="shared" si="7"/>
        <v>21532899.999999996</v>
      </c>
    </row>
    <row r="33" spans="1:11">
      <c r="K33" s="90">
        <f>21110800+422100</f>
        <v>21532900</v>
      </c>
    </row>
    <row r="34" spans="1:11">
      <c r="K34" s="90">
        <f>K33/J32</f>
        <v>12.781650167753895</v>
      </c>
    </row>
    <row r="35" spans="1:11" ht="15.75" hidden="1">
      <c r="A35" s="240" t="s">
        <v>144</v>
      </c>
      <c r="B35" s="240"/>
      <c r="C35" s="30"/>
      <c r="D35" s="30"/>
      <c r="E35" s="30">
        <f t="shared" ref="E35:K35" si="8">E27+E28+E31+E32+E33+E34</f>
        <v>811206.26</v>
      </c>
      <c r="F35" s="30">
        <f t="shared" si="8"/>
        <v>12452.25</v>
      </c>
      <c r="G35" s="30">
        <f t="shared" si="8"/>
        <v>708749.60000000009</v>
      </c>
      <c r="H35" s="30">
        <f t="shared" si="8"/>
        <v>0</v>
      </c>
      <c r="I35" s="30">
        <f t="shared" si="8"/>
        <v>229861.21650000001</v>
      </c>
      <c r="J35" s="30">
        <f t="shared" si="8"/>
        <v>1762269.3265000004</v>
      </c>
      <c r="K35" s="30">
        <f t="shared" si="8"/>
        <v>44057622.814336441</v>
      </c>
    </row>
    <row r="36" spans="1:11" hidden="1">
      <c r="K36" s="55">
        <f>606300+5000</f>
        <v>611300</v>
      </c>
    </row>
    <row r="37" spans="1:11" hidden="1">
      <c r="K37" s="55">
        <f>K36/J35</f>
        <v>0.34688227889325396</v>
      </c>
    </row>
    <row r="38" spans="1:11">
      <c r="K38" s="55"/>
    </row>
    <row r="39" spans="1:11">
      <c r="K39" s="55"/>
    </row>
    <row r="40" spans="1:11">
      <c r="K40" s="55"/>
    </row>
    <row r="41" spans="1:11">
      <c r="K41" s="55"/>
    </row>
    <row r="42" spans="1:11">
      <c r="K42" s="55"/>
    </row>
    <row r="43" spans="1:11">
      <c r="K43" s="55"/>
    </row>
    <row r="44" spans="1:11">
      <c r="K44" s="55"/>
    </row>
    <row r="45" spans="1:11">
      <c r="K45" s="55"/>
    </row>
    <row r="46" spans="1:11">
      <c r="K46" s="55"/>
    </row>
    <row r="47" spans="1:11">
      <c r="K47" s="55"/>
    </row>
    <row r="48" spans="1:11">
      <c r="K48" s="55"/>
    </row>
    <row r="49" spans="11:11">
      <c r="K49" s="55"/>
    </row>
    <row r="50" spans="11:11">
      <c r="K50" s="55"/>
    </row>
    <row r="51" spans="11:11">
      <c r="K51" s="55"/>
    </row>
    <row r="52" spans="11:11">
      <c r="K52" s="55"/>
    </row>
    <row r="53" spans="11:11">
      <c r="K53" s="55"/>
    </row>
    <row r="54" spans="11:11">
      <c r="K54" s="55"/>
    </row>
    <row r="55" spans="11:11">
      <c r="K55" s="55"/>
    </row>
    <row r="56" spans="11:11">
      <c r="K56" s="55"/>
    </row>
    <row r="57" spans="11:11">
      <c r="K57" s="55"/>
    </row>
    <row r="58" spans="11:11">
      <c r="K58" s="55"/>
    </row>
  </sheetData>
  <mergeCells count="16">
    <mergeCell ref="A1:L1"/>
    <mergeCell ref="A3:I3"/>
    <mergeCell ref="A4:L4"/>
    <mergeCell ref="A6:L6"/>
    <mergeCell ref="A35:B35"/>
    <mergeCell ref="I7:I9"/>
    <mergeCell ref="J7:J9"/>
    <mergeCell ref="K7:K9"/>
    <mergeCell ref="D8:D9"/>
    <mergeCell ref="E8:G8"/>
    <mergeCell ref="A32:B32"/>
    <mergeCell ref="A7:A9"/>
    <mergeCell ref="B7:B9"/>
    <mergeCell ref="C7:C9"/>
    <mergeCell ref="D7:G7"/>
    <mergeCell ref="H7:H9"/>
  </mergeCells>
  <pageMargins left="0" right="0" top="0" bottom="0" header="0" footer="0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8"/>
  <sheetViews>
    <sheetView view="pageBreakPreview" zoomScale="80" zoomScaleSheetLayoutView="80" workbookViewId="0">
      <selection activeCell="K23" sqref="K23"/>
    </sheetView>
  </sheetViews>
  <sheetFormatPr defaultRowHeight="15"/>
  <cols>
    <col min="1" max="9" width="18" customWidth="1"/>
    <col min="10" max="10" width="18" hidden="1" customWidth="1"/>
    <col min="11" max="11" width="20.28515625" customWidth="1"/>
  </cols>
  <sheetData>
    <row r="1" spans="1:12" ht="18.75">
      <c r="A1" s="198" t="s">
        <v>161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ht="18.75">
      <c r="A2" s="61"/>
    </row>
    <row r="3" spans="1:12" ht="48" customHeight="1">
      <c r="A3" s="190" t="s">
        <v>287</v>
      </c>
      <c r="B3" s="190"/>
      <c r="C3" s="190"/>
      <c r="D3" s="190"/>
      <c r="E3" s="190"/>
      <c r="F3" s="190"/>
      <c r="G3" s="190"/>
      <c r="H3" s="190"/>
      <c r="I3" s="190"/>
      <c r="J3" s="71"/>
      <c r="K3" s="71"/>
      <c r="L3" s="71"/>
    </row>
    <row r="4" spans="1:12" ht="18.75">
      <c r="A4" s="239" t="s">
        <v>288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1:12" ht="18.75">
      <c r="A5" s="34"/>
    </row>
    <row r="6" spans="1:12" ht="18.75">
      <c r="A6" s="188" t="s">
        <v>162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18.75">
      <c r="A7" s="34"/>
    </row>
    <row r="8" spans="1:12" ht="31.5" customHeight="1">
      <c r="A8" s="242" t="s">
        <v>90</v>
      </c>
      <c r="B8" s="242" t="s">
        <v>163</v>
      </c>
      <c r="C8" s="242" t="s">
        <v>164</v>
      </c>
      <c r="D8" s="242" t="s">
        <v>165</v>
      </c>
      <c r="E8" s="242"/>
      <c r="F8" s="242"/>
      <c r="G8" s="242"/>
      <c r="H8" s="242" t="s">
        <v>166</v>
      </c>
      <c r="I8" s="242" t="s">
        <v>167</v>
      </c>
      <c r="J8" s="242" t="s">
        <v>273</v>
      </c>
      <c r="K8" s="242" t="s">
        <v>168</v>
      </c>
    </row>
    <row r="9" spans="1:12" ht="15.75">
      <c r="A9" s="242"/>
      <c r="B9" s="242"/>
      <c r="C9" s="242"/>
      <c r="D9" s="242" t="s">
        <v>169</v>
      </c>
      <c r="E9" s="242" t="s">
        <v>33</v>
      </c>
      <c r="F9" s="242"/>
      <c r="G9" s="242"/>
      <c r="H9" s="242"/>
      <c r="I9" s="242"/>
      <c r="J9" s="242"/>
      <c r="K9" s="242"/>
    </row>
    <row r="10" spans="1:12" ht="47.25">
      <c r="A10" s="242"/>
      <c r="B10" s="242"/>
      <c r="C10" s="242"/>
      <c r="D10" s="242"/>
      <c r="E10" s="44" t="s">
        <v>170</v>
      </c>
      <c r="F10" s="44" t="s">
        <v>171</v>
      </c>
      <c r="G10" s="44" t="s">
        <v>172</v>
      </c>
      <c r="H10" s="242"/>
      <c r="I10" s="242"/>
      <c r="J10" s="242"/>
      <c r="K10" s="242"/>
    </row>
    <row r="11" spans="1:12" ht="15.75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44">
        <v>10</v>
      </c>
      <c r="K11" s="70">
        <v>10</v>
      </c>
    </row>
    <row r="12" spans="1:12" ht="31.5">
      <c r="A12" s="44">
        <v>1</v>
      </c>
      <c r="B12" s="44" t="s">
        <v>269</v>
      </c>
      <c r="C12" s="44">
        <v>1</v>
      </c>
      <c r="D12" s="60">
        <f>E12+F12+G12</f>
        <v>12130</v>
      </c>
      <c r="E12" s="60">
        <v>11032</v>
      </c>
      <c r="F12" s="60"/>
      <c r="G12" s="60">
        <v>1098</v>
      </c>
      <c r="H12" s="60"/>
      <c r="I12" s="60">
        <f>D12*0.15</f>
        <v>1819.5</v>
      </c>
      <c r="J12" s="60">
        <f>I12+D12</f>
        <v>13949.5</v>
      </c>
      <c r="K12" s="101">
        <f>$K$16/$C$16*C12</f>
        <v>135213.48314606742</v>
      </c>
    </row>
    <row r="13" spans="1:12" ht="31.5">
      <c r="A13" s="44">
        <v>2</v>
      </c>
      <c r="B13" s="44" t="s">
        <v>270</v>
      </c>
      <c r="C13" s="44">
        <v>1</v>
      </c>
      <c r="D13" s="60">
        <f t="shared" ref="D13:D15" si="0">E13+F13+G13</f>
        <v>12130</v>
      </c>
      <c r="E13" s="60">
        <v>4741</v>
      </c>
      <c r="F13" s="60"/>
      <c r="G13" s="60">
        <v>7389</v>
      </c>
      <c r="H13" s="60"/>
      <c r="I13" s="60">
        <f t="shared" ref="I13:I14" si="1">D13*0.15</f>
        <v>1819.5</v>
      </c>
      <c r="J13" s="60">
        <f t="shared" ref="J13:J15" si="2">I13+D13</f>
        <v>13949.5</v>
      </c>
      <c r="K13" s="101">
        <f t="shared" ref="K13:K15" si="3">$K$16/$C$16*C13</f>
        <v>135213.48314606742</v>
      </c>
    </row>
    <row r="14" spans="1:12" ht="15.75">
      <c r="A14" s="44">
        <v>3</v>
      </c>
      <c r="B14" s="44" t="s">
        <v>271</v>
      </c>
      <c r="C14" s="44">
        <v>1</v>
      </c>
      <c r="D14" s="60">
        <f t="shared" si="0"/>
        <v>12130</v>
      </c>
      <c r="E14" s="60">
        <v>4741</v>
      </c>
      <c r="F14" s="60"/>
      <c r="G14" s="60">
        <v>7389</v>
      </c>
      <c r="H14" s="60"/>
      <c r="I14" s="60">
        <f t="shared" si="1"/>
        <v>1819.5</v>
      </c>
      <c r="J14" s="60">
        <f t="shared" si="2"/>
        <v>13949.5</v>
      </c>
      <c r="K14" s="101">
        <f t="shared" si="3"/>
        <v>135213.48314606742</v>
      </c>
    </row>
    <row r="15" spans="1:12" ht="15.75">
      <c r="A15" s="44">
        <v>4</v>
      </c>
      <c r="B15" s="44" t="s">
        <v>272</v>
      </c>
      <c r="C15" s="44">
        <v>1.45</v>
      </c>
      <c r="D15" s="60">
        <f t="shared" si="0"/>
        <v>17588.5</v>
      </c>
      <c r="E15" s="60">
        <f>1.45*4122</f>
        <v>5976.9</v>
      </c>
      <c r="F15" s="60"/>
      <c r="G15" s="60">
        <v>11611.6</v>
      </c>
      <c r="H15" s="60"/>
      <c r="I15" s="60">
        <v>2638.28</v>
      </c>
      <c r="J15" s="60">
        <f t="shared" si="2"/>
        <v>20226.78</v>
      </c>
      <c r="K15" s="101">
        <f t="shared" si="3"/>
        <v>196059.55056179775</v>
      </c>
    </row>
    <row r="16" spans="1:12" ht="15.75">
      <c r="A16" s="242" t="s">
        <v>144</v>
      </c>
      <c r="B16" s="242"/>
      <c r="C16" s="44">
        <f>C12+C13+C14+C15</f>
        <v>4.45</v>
      </c>
      <c r="D16" s="60">
        <f>D12+D13+D14+D15</f>
        <v>53978.5</v>
      </c>
      <c r="E16" s="60" t="s">
        <v>31</v>
      </c>
      <c r="F16" s="60" t="s">
        <v>31</v>
      </c>
      <c r="G16" s="60" t="s">
        <v>31</v>
      </c>
      <c r="H16" s="60" t="s">
        <v>31</v>
      </c>
      <c r="I16" s="60" t="s">
        <v>31</v>
      </c>
      <c r="J16" s="60">
        <f>J12+J13+J14+J15</f>
        <v>62075.28</v>
      </c>
      <c r="K16" s="60">
        <v>601700</v>
      </c>
    </row>
    <row r="17" spans="1:11" ht="18.75" hidden="1">
      <c r="A17" s="34"/>
      <c r="K17">
        <f>631200+5000</f>
        <v>636200</v>
      </c>
    </row>
    <row r="18" spans="1:11" ht="18.75" hidden="1">
      <c r="A18" s="34" t="s">
        <v>147</v>
      </c>
      <c r="K18">
        <f>K17/J16</f>
        <v>10.248846239598114</v>
      </c>
    </row>
  </sheetData>
  <mergeCells count="15">
    <mergeCell ref="A1:L1"/>
    <mergeCell ref="A3:I3"/>
    <mergeCell ref="A4:L4"/>
    <mergeCell ref="A6:L6"/>
    <mergeCell ref="A16:B16"/>
    <mergeCell ref="K8:K10"/>
    <mergeCell ref="A8:A10"/>
    <mergeCell ref="B8:B10"/>
    <mergeCell ref="C8:C10"/>
    <mergeCell ref="D8:G8"/>
    <mergeCell ref="H8:H10"/>
    <mergeCell ref="I8:I10"/>
    <mergeCell ref="J8:J10"/>
    <mergeCell ref="D9:D10"/>
    <mergeCell ref="E9:G9"/>
  </mergeCells>
  <pageMargins left="0" right="0" top="0" bottom="0" header="0" footer="0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83"/>
  <sheetViews>
    <sheetView view="pageBreakPreview" topLeftCell="A15" zoomScale="70" zoomScaleSheetLayoutView="70" workbookViewId="0">
      <selection activeCell="D28" sqref="D28"/>
    </sheetView>
  </sheetViews>
  <sheetFormatPr defaultRowHeight="15"/>
  <cols>
    <col min="1" max="1" width="32.28515625" customWidth="1"/>
    <col min="2" max="2" width="63.7109375" customWidth="1"/>
    <col min="3" max="3" width="20.85546875" customWidth="1"/>
    <col min="4" max="6" width="18.28515625" customWidth="1"/>
    <col min="8" max="8" width="28.42578125" customWidth="1"/>
  </cols>
  <sheetData>
    <row r="1" spans="1:6" ht="18.75">
      <c r="A1" s="198" t="s">
        <v>173</v>
      </c>
      <c r="B1" s="198"/>
      <c r="C1" s="198"/>
      <c r="D1" s="198"/>
      <c r="E1" s="198"/>
      <c r="F1" s="198"/>
    </row>
    <row r="2" spans="1:6" ht="18.75">
      <c r="A2" s="34"/>
    </row>
    <row r="3" spans="1:6" ht="63">
      <c r="A3" s="30" t="s">
        <v>90</v>
      </c>
      <c r="B3" s="30" t="s">
        <v>155</v>
      </c>
      <c r="C3" s="30" t="s">
        <v>174</v>
      </c>
      <c r="D3" s="30" t="s">
        <v>175</v>
      </c>
      <c r="E3" s="30" t="s">
        <v>176</v>
      </c>
      <c r="F3" s="30" t="s">
        <v>177</v>
      </c>
    </row>
    <row r="4" spans="1:6">
      <c r="A4" s="35">
        <v>1</v>
      </c>
      <c r="B4" s="35">
        <v>2</v>
      </c>
      <c r="C4" s="35">
        <v>3</v>
      </c>
      <c r="D4" s="35">
        <v>4</v>
      </c>
      <c r="E4" s="35">
        <v>5</v>
      </c>
      <c r="F4" s="35">
        <v>6</v>
      </c>
    </row>
    <row r="5" spans="1:6">
      <c r="A5" s="36"/>
      <c r="B5" s="36"/>
      <c r="C5" s="36"/>
      <c r="D5" s="36"/>
      <c r="E5" s="36"/>
      <c r="F5" s="36"/>
    </row>
    <row r="6" spans="1:6">
      <c r="A6" s="36"/>
      <c r="B6" s="36"/>
      <c r="C6" s="36"/>
      <c r="D6" s="36"/>
      <c r="E6" s="36"/>
      <c r="F6" s="36"/>
    </row>
    <row r="7" spans="1:6" ht="18.75">
      <c r="A7" s="33"/>
      <c r="B7" s="37" t="s">
        <v>144</v>
      </c>
      <c r="C7" s="30" t="s">
        <v>31</v>
      </c>
      <c r="D7" s="33"/>
      <c r="E7" s="33"/>
      <c r="F7" s="33"/>
    </row>
    <row r="8" spans="1:6" ht="18.75">
      <c r="A8" s="34"/>
    </row>
    <row r="9" spans="1:6" ht="18.75">
      <c r="A9" s="198" t="s">
        <v>239</v>
      </c>
      <c r="B9" s="198"/>
      <c r="C9" s="198"/>
      <c r="D9" s="198"/>
      <c r="E9" s="198"/>
      <c r="F9" s="198"/>
    </row>
    <row r="10" spans="1:6" ht="18.75">
      <c r="A10" s="34" t="s">
        <v>147</v>
      </c>
    </row>
    <row r="11" spans="1:6" ht="63">
      <c r="A11" s="30" t="s">
        <v>90</v>
      </c>
      <c r="B11" s="30" t="s">
        <v>155</v>
      </c>
      <c r="C11" s="30" t="s">
        <v>178</v>
      </c>
      <c r="D11" s="30" t="s">
        <v>179</v>
      </c>
      <c r="E11" s="30" t="s">
        <v>180</v>
      </c>
      <c r="F11" s="30" t="s">
        <v>177</v>
      </c>
    </row>
    <row r="12" spans="1:6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</row>
    <row r="13" spans="1:6">
      <c r="A13" s="36"/>
      <c r="B13" s="36"/>
      <c r="C13" s="36"/>
      <c r="D13" s="36"/>
      <c r="E13" s="36"/>
      <c r="F13" s="36"/>
    </row>
    <row r="14" spans="1:6">
      <c r="A14" s="36"/>
      <c r="B14" s="36"/>
      <c r="C14" s="36"/>
      <c r="D14" s="36"/>
      <c r="E14" s="36"/>
      <c r="F14" s="36"/>
    </row>
    <row r="15" spans="1:6" ht="18.75">
      <c r="A15" s="33"/>
      <c r="B15" s="37" t="s">
        <v>144</v>
      </c>
      <c r="C15" s="30" t="s">
        <v>31</v>
      </c>
      <c r="D15" s="33"/>
      <c r="E15" s="33"/>
      <c r="F15" s="33"/>
    </row>
    <row r="16" spans="1:6" ht="18.75">
      <c r="A16" s="34"/>
    </row>
    <row r="17" spans="1:9" ht="55.5" customHeight="1">
      <c r="A17" s="190" t="s">
        <v>181</v>
      </c>
      <c r="B17" s="190"/>
      <c r="C17" s="190"/>
      <c r="D17" s="190"/>
      <c r="E17" s="190"/>
      <c r="F17" s="190"/>
    </row>
    <row r="18" spans="1:9" ht="18.75">
      <c r="A18" s="34"/>
    </row>
    <row r="19" spans="1:9" ht="63">
      <c r="A19" s="38" t="s">
        <v>90</v>
      </c>
      <c r="B19" s="38" t="s">
        <v>182</v>
      </c>
      <c r="C19" s="38" t="s">
        <v>183</v>
      </c>
      <c r="D19" s="38" t="s">
        <v>184</v>
      </c>
    </row>
    <row r="20" spans="1:9">
      <c r="A20" s="39">
        <v>1</v>
      </c>
      <c r="B20" s="39">
        <v>2</v>
      </c>
      <c r="C20" s="39">
        <v>3</v>
      </c>
      <c r="D20" s="39">
        <v>4</v>
      </c>
    </row>
    <row r="21" spans="1:9" ht="31.5">
      <c r="A21" s="77">
        <v>1</v>
      </c>
      <c r="B21" s="40" t="s">
        <v>185</v>
      </c>
      <c r="C21" s="111" t="s">
        <v>31</v>
      </c>
      <c r="D21" s="112">
        <f>D22+D23+D24+78586.6</f>
        <v>210960.6</v>
      </c>
    </row>
    <row r="22" spans="1:9" ht="15.75">
      <c r="A22" s="77" t="s">
        <v>94</v>
      </c>
      <c r="B22" s="41" t="s">
        <v>186</v>
      </c>
      <c r="C22" s="111">
        <v>601700</v>
      </c>
      <c r="D22" s="111">
        <f>C22*0.22</f>
        <v>132374</v>
      </c>
    </row>
    <row r="23" spans="1:9" ht="15.75">
      <c r="A23" s="77" t="s">
        <v>95</v>
      </c>
      <c r="B23" s="40" t="s">
        <v>187</v>
      </c>
      <c r="C23" s="111"/>
      <c r="D23" s="111"/>
    </row>
    <row r="24" spans="1:9" ht="47.25">
      <c r="A24" s="77" t="s">
        <v>96</v>
      </c>
      <c r="B24" s="40" t="s">
        <v>188</v>
      </c>
      <c r="C24" s="111"/>
      <c r="D24" s="111"/>
    </row>
    <row r="25" spans="1:9" ht="31.5">
      <c r="A25" s="77">
        <v>2</v>
      </c>
      <c r="B25" s="40" t="s">
        <v>189</v>
      </c>
      <c r="C25" s="111" t="s">
        <v>31</v>
      </c>
      <c r="D25" s="112">
        <f>D26+D28+D29+D30+D31</f>
        <v>18652.7</v>
      </c>
    </row>
    <row r="26" spans="1:9" ht="15.75">
      <c r="A26" s="247" t="s">
        <v>190</v>
      </c>
      <c r="B26" s="40" t="s">
        <v>191</v>
      </c>
      <c r="C26" s="111">
        <v>601700</v>
      </c>
      <c r="D26" s="248">
        <f>(C26*2.9%)</f>
        <v>17449.3</v>
      </c>
    </row>
    <row r="27" spans="1:9" ht="31.5" customHeight="1">
      <c r="A27" s="247"/>
      <c r="B27" s="40" t="s">
        <v>192</v>
      </c>
      <c r="C27" s="111">
        <v>601700</v>
      </c>
      <c r="D27" s="248"/>
    </row>
    <row r="28" spans="1:9" ht="31.5">
      <c r="A28" s="77" t="s">
        <v>193</v>
      </c>
      <c r="B28" s="40" t="s">
        <v>194</v>
      </c>
      <c r="C28" s="111"/>
      <c r="D28" s="111"/>
    </row>
    <row r="29" spans="1:9" ht="47.25">
      <c r="A29" s="77" t="s">
        <v>195</v>
      </c>
      <c r="B29" s="40" t="s">
        <v>196</v>
      </c>
      <c r="C29" s="111">
        <v>601700</v>
      </c>
      <c r="D29" s="112">
        <f>C29*0.2%</f>
        <v>1203.4000000000001</v>
      </c>
      <c r="I29" s="64"/>
    </row>
    <row r="30" spans="1:9" ht="45">
      <c r="A30" s="77" t="s">
        <v>197</v>
      </c>
      <c r="B30" s="42" t="s">
        <v>198</v>
      </c>
      <c r="C30" s="111"/>
      <c r="D30" s="111"/>
    </row>
    <row r="31" spans="1:9" ht="45">
      <c r="A31" s="77" t="s">
        <v>199</v>
      </c>
      <c r="B31" s="42" t="s">
        <v>198</v>
      </c>
      <c r="C31" s="111"/>
      <c r="D31" s="111"/>
    </row>
    <row r="32" spans="1:9" ht="31.5">
      <c r="A32" s="77">
        <v>3</v>
      </c>
      <c r="B32" s="40" t="s">
        <v>200</v>
      </c>
      <c r="C32" s="111">
        <v>601700</v>
      </c>
      <c r="D32" s="112">
        <f>C32*5.1%</f>
        <v>30686.699999999997</v>
      </c>
      <c r="E32" s="64">
        <f>190600-D33</f>
        <v>-69700</v>
      </c>
    </row>
    <row r="33" spans="1:6" ht="15.75">
      <c r="A33" s="77"/>
      <c r="B33" s="43" t="s">
        <v>144</v>
      </c>
      <c r="C33" s="111" t="s">
        <v>31</v>
      </c>
      <c r="D33" s="111">
        <f>D21+D25+D32</f>
        <v>260300</v>
      </c>
    </row>
    <row r="34" spans="1:6" ht="18.75">
      <c r="A34" s="34"/>
    </row>
    <row r="35" spans="1:6" ht="78.75" customHeight="1">
      <c r="A35" s="190" t="s">
        <v>201</v>
      </c>
      <c r="B35" s="190"/>
      <c r="C35" s="190"/>
      <c r="D35" s="190"/>
      <c r="E35" s="190"/>
      <c r="F35" s="190"/>
    </row>
    <row r="36" spans="1:6" ht="18.75">
      <c r="A36" s="34"/>
    </row>
    <row r="37" spans="1:6" ht="18.75">
      <c r="A37" s="198" t="s">
        <v>202</v>
      </c>
      <c r="B37" s="198"/>
      <c r="C37" s="198"/>
      <c r="D37" s="198"/>
      <c r="E37" s="198"/>
      <c r="F37" s="198"/>
    </row>
    <row r="38" spans="1:6" s="84" customFormat="1" ht="17.25" customHeight="1">
      <c r="A38" s="246" t="s">
        <v>299</v>
      </c>
      <c r="B38" s="246"/>
      <c r="C38" s="246"/>
      <c r="D38" s="246"/>
      <c r="E38" s="246"/>
      <c r="F38" s="246"/>
    </row>
    <row r="39" spans="1:6" ht="19.899999999999999" customHeight="1">
      <c r="A39" s="189" t="s">
        <v>285</v>
      </c>
      <c r="B39" s="189"/>
      <c r="C39" s="189"/>
      <c r="D39" s="189"/>
      <c r="E39" s="189"/>
      <c r="F39" s="189"/>
    </row>
    <row r="40" spans="1:6" ht="18.75">
      <c r="A40" s="34"/>
    </row>
    <row r="41" spans="1:6" ht="47.25">
      <c r="A41" s="30" t="s">
        <v>90</v>
      </c>
      <c r="B41" s="30" t="s">
        <v>27</v>
      </c>
      <c r="C41" s="30" t="s">
        <v>205</v>
      </c>
      <c r="D41" s="30" t="s">
        <v>157</v>
      </c>
      <c r="E41" s="30" t="s">
        <v>206</v>
      </c>
    </row>
    <row r="42" spans="1:6">
      <c r="A42" s="35">
        <v>1</v>
      </c>
      <c r="B42" s="35">
        <v>2</v>
      </c>
      <c r="C42" s="35">
        <v>3</v>
      </c>
      <c r="D42" s="35">
        <v>4</v>
      </c>
      <c r="E42" s="35">
        <v>5</v>
      </c>
    </row>
    <row r="43" spans="1:6" ht="37.5">
      <c r="A43" s="33">
        <v>1</v>
      </c>
      <c r="B43" s="33" t="s">
        <v>300</v>
      </c>
      <c r="C43" s="85">
        <v>30</v>
      </c>
      <c r="D43" s="85">
        <v>172</v>
      </c>
      <c r="E43" s="85">
        <f>C43*D43</f>
        <v>5160</v>
      </c>
    </row>
    <row r="44" spans="1:6" ht="37.5">
      <c r="A44" s="33">
        <v>2</v>
      </c>
      <c r="B44" s="33" t="s">
        <v>301</v>
      </c>
      <c r="C44" s="85">
        <v>40</v>
      </c>
      <c r="D44" s="85">
        <v>172</v>
      </c>
      <c r="E44" s="85">
        <f>C44*D44</f>
        <v>6880</v>
      </c>
    </row>
    <row r="45" spans="1:6" ht="18.75">
      <c r="A45" s="33"/>
      <c r="B45" s="30" t="s">
        <v>207</v>
      </c>
      <c r="C45" s="30" t="s">
        <v>31</v>
      </c>
      <c r="D45" s="30" t="s">
        <v>31</v>
      </c>
      <c r="E45" s="86">
        <f>E43+E44</f>
        <v>12040</v>
      </c>
    </row>
    <row r="46" spans="1:6" ht="18.75">
      <c r="A46" s="72"/>
    </row>
    <row r="47" spans="1:6" ht="18.75">
      <c r="A47" s="198" t="s">
        <v>208</v>
      </c>
      <c r="B47" s="198"/>
      <c r="C47" s="198"/>
      <c r="D47" s="198"/>
      <c r="E47" s="198"/>
      <c r="F47" s="198"/>
    </row>
    <row r="48" spans="1:6" ht="18.75">
      <c r="A48" s="200" t="s">
        <v>203</v>
      </c>
      <c r="B48" s="200"/>
      <c r="C48" s="200"/>
      <c r="D48" s="200"/>
      <c r="E48" s="200"/>
    </row>
    <row r="49" spans="1:6" ht="18.75">
      <c r="A49" s="200" t="s">
        <v>204</v>
      </c>
      <c r="B49" s="200"/>
      <c r="C49" s="200"/>
      <c r="D49" s="200"/>
      <c r="E49" s="200"/>
    </row>
    <row r="50" spans="1:6" ht="18.75">
      <c r="A50" s="34"/>
    </row>
    <row r="51" spans="1:6" ht="105.75" customHeight="1">
      <c r="A51" s="30" t="s">
        <v>90</v>
      </c>
      <c r="B51" s="30" t="s">
        <v>155</v>
      </c>
      <c r="C51" s="30" t="s">
        <v>209</v>
      </c>
      <c r="D51" s="30" t="s">
        <v>210</v>
      </c>
      <c r="E51" s="30" t="s">
        <v>211</v>
      </c>
    </row>
    <row r="52" spans="1:6">
      <c r="A52" s="35">
        <v>1</v>
      </c>
      <c r="B52" s="35">
        <v>2</v>
      </c>
      <c r="C52" s="35">
        <v>3</v>
      </c>
      <c r="D52" s="35">
        <v>4</v>
      </c>
      <c r="E52" s="35">
        <v>5</v>
      </c>
    </row>
    <row r="53" spans="1:6" ht="18.75">
      <c r="A53" s="33">
        <v>1</v>
      </c>
      <c r="B53" s="33" t="s">
        <v>274</v>
      </c>
      <c r="C53" s="66">
        <f>E53/1.5%</f>
        <v>38286666.666666672</v>
      </c>
      <c r="D53" s="33">
        <v>1.5</v>
      </c>
      <c r="E53" s="33">
        <v>574300</v>
      </c>
    </row>
    <row r="54" spans="1:6" ht="18.75">
      <c r="A54" s="33">
        <v>2</v>
      </c>
      <c r="B54" s="33" t="s">
        <v>275</v>
      </c>
      <c r="C54" s="67">
        <f>E54/2.2%</f>
        <v>0</v>
      </c>
      <c r="D54" s="33">
        <v>2.2000000000000002</v>
      </c>
      <c r="E54" s="33"/>
    </row>
    <row r="55" spans="1:6" ht="18.75">
      <c r="A55" s="33"/>
      <c r="B55" s="30" t="s">
        <v>212</v>
      </c>
      <c r="C55" s="33"/>
      <c r="D55" s="30" t="s">
        <v>31</v>
      </c>
      <c r="E55" s="33">
        <f>E53</f>
        <v>574300</v>
      </c>
    </row>
    <row r="56" spans="1:6" ht="18.75">
      <c r="A56" s="34"/>
    </row>
    <row r="57" spans="1:6" ht="18.75">
      <c r="A57" s="198" t="s">
        <v>213</v>
      </c>
      <c r="B57" s="198"/>
      <c r="C57" s="198"/>
      <c r="D57" s="198"/>
      <c r="E57" s="198"/>
      <c r="F57" s="198"/>
    </row>
    <row r="58" spans="1:6" ht="18.75">
      <c r="A58" s="189" t="s">
        <v>203</v>
      </c>
      <c r="B58" s="189"/>
      <c r="C58" s="189"/>
      <c r="D58" s="189"/>
      <c r="E58" s="189"/>
    </row>
    <row r="59" spans="1:6" ht="18.75">
      <c r="A59" s="189" t="s">
        <v>204</v>
      </c>
      <c r="B59" s="189"/>
      <c r="C59" s="189"/>
      <c r="D59" s="189"/>
      <c r="E59" s="189"/>
    </row>
    <row r="60" spans="1:6" ht="18.75">
      <c r="A60" s="34" t="s">
        <v>214</v>
      </c>
    </row>
    <row r="61" spans="1:6" ht="47.25">
      <c r="A61" s="30" t="s">
        <v>90</v>
      </c>
      <c r="B61" s="30" t="s">
        <v>27</v>
      </c>
      <c r="C61" s="30" t="s">
        <v>205</v>
      </c>
      <c r="D61" s="30" t="s">
        <v>157</v>
      </c>
      <c r="E61" s="30" t="s">
        <v>206</v>
      </c>
    </row>
    <row r="62" spans="1:6">
      <c r="A62" s="35">
        <v>1</v>
      </c>
      <c r="B62" s="35">
        <v>2</v>
      </c>
      <c r="C62" s="35">
        <v>3</v>
      </c>
      <c r="D62" s="35">
        <v>4</v>
      </c>
      <c r="E62" s="35">
        <v>5</v>
      </c>
    </row>
    <row r="63" spans="1:6">
      <c r="A63" s="36"/>
      <c r="B63" s="36"/>
      <c r="C63" s="36"/>
      <c r="D63" s="36"/>
      <c r="E63" s="36"/>
    </row>
    <row r="64" spans="1:6">
      <c r="A64" s="36"/>
      <c r="B64" s="36"/>
      <c r="C64" s="36"/>
      <c r="D64" s="36"/>
      <c r="E64" s="36"/>
    </row>
    <row r="65" spans="1:6" ht="18.75">
      <c r="A65" s="33"/>
      <c r="B65" s="30" t="s">
        <v>207</v>
      </c>
      <c r="C65" s="30" t="s">
        <v>31</v>
      </c>
      <c r="D65" s="30" t="s">
        <v>31</v>
      </c>
      <c r="E65" s="33"/>
    </row>
    <row r="66" spans="1:6" ht="18.75">
      <c r="A66" s="34"/>
    </row>
    <row r="67" spans="1:6" ht="18.75">
      <c r="A67" s="198" t="s">
        <v>215</v>
      </c>
      <c r="B67" s="198"/>
      <c r="C67" s="198"/>
      <c r="D67" s="198"/>
      <c r="E67" s="198"/>
      <c r="F67" s="198"/>
    </row>
    <row r="68" spans="1:6" ht="18.75">
      <c r="A68" s="200" t="s">
        <v>203</v>
      </c>
      <c r="B68" s="200"/>
      <c r="C68" s="200"/>
      <c r="D68" s="200"/>
      <c r="E68" s="200"/>
    </row>
    <row r="69" spans="1:6" ht="18.75">
      <c r="A69" s="200" t="s">
        <v>204</v>
      </c>
      <c r="B69" s="200"/>
      <c r="C69" s="200"/>
      <c r="D69" s="200"/>
      <c r="E69" s="200"/>
    </row>
    <row r="70" spans="1:6" ht="18.75">
      <c r="A70" s="34"/>
    </row>
    <row r="71" spans="1:6" ht="47.25">
      <c r="A71" s="30" t="s">
        <v>90</v>
      </c>
      <c r="B71" s="30" t="s">
        <v>27</v>
      </c>
      <c r="C71" s="30" t="s">
        <v>205</v>
      </c>
      <c r="D71" s="30" t="s">
        <v>157</v>
      </c>
      <c r="E71" s="30" t="s">
        <v>206</v>
      </c>
    </row>
    <row r="72" spans="1:6">
      <c r="A72" s="35">
        <v>1</v>
      </c>
      <c r="B72" s="35">
        <v>2</v>
      </c>
      <c r="C72" s="35">
        <v>3</v>
      </c>
      <c r="D72" s="35">
        <v>4</v>
      </c>
      <c r="E72" s="35">
        <v>5</v>
      </c>
    </row>
    <row r="73" spans="1:6">
      <c r="A73" s="36"/>
      <c r="B73" s="36"/>
      <c r="C73" s="36"/>
      <c r="D73" s="36"/>
      <c r="E73" s="36"/>
    </row>
    <row r="74" spans="1:6">
      <c r="A74" s="36"/>
      <c r="B74" s="36"/>
      <c r="C74" s="36"/>
      <c r="D74" s="36"/>
      <c r="E74" s="36"/>
    </row>
    <row r="75" spans="1:6" ht="18.75">
      <c r="A75" s="33"/>
      <c r="B75" s="30" t="s">
        <v>207</v>
      </c>
      <c r="C75" s="30" t="s">
        <v>31</v>
      </c>
      <c r="D75" s="30" t="s">
        <v>31</v>
      </c>
      <c r="E75" s="33"/>
    </row>
    <row r="76" spans="1:6" ht="18.75">
      <c r="A76" s="34"/>
    </row>
    <row r="77" spans="1:6" ht="18.75">
      <c r="A77" s="188" t="s">
        <v>216</v>
      </c>
      <c r="B77" s="188"/>
      <c r="C77" s="188"/>
      <c r="D77" s="188"/>
      <c r="E77" s="188"/>
      <c r="F77" s="188"/>
    </row>
    <row r="78" spans="1:6" ht="18.75">
      <c r="A78" s="200" t="s">
        <v>286</v>
      </c>
      <c r="B78" s="200"/>
      <c r="C78" s="200"/>
      <c r="D78" s="200"/>
      <c r="E78" s="200"/>
      <c r="F78" s="200"/>
    </row>
    <row r="79" spans="1:6" ht="18.75">
      <c r="A79" s="200" t="s">
        <v>285</v>
      </c>
      <c r="B79" s="200"/>
      <c r="C79" s="200"/>
      <c r="D79" s="200"/>
      <c r="E79" s="200"/>
      <c r="F79" s="200"/>
    </row>
    <row r="80" spans="1:6" ht="18.75">
      <c r="A80" s="34"/>
    </row>
    <row r="81" spans="1:6" ht="18.75">
      <c r="A81" s="198" t="s">
        <v>217</v>
      </c>
      <c r="B81" s="198"/>
      <c r="C81" s="198"/>
      <c r="D81" s="198"/>
      <c r="E81" s="198"/>
      <c r="F81" s="198"/>
    </row>
    <row r="82" spans="1:6" ht="18.75">
      <c r="A82" s="34"/>
    </row>
    <row r="83" spans="1:6" ht="31.5">
      <c r="A83" s="30" t="s">
        <v>90</v>
      </c>
      <c r="B83" s="30" t="s">
        <v>155</v>
      </c>
      <c r="C83" s="30" t="s">
        <v>218</v>
      </c>
      <c r="D83" s="30" t="s">
        <v>219</v>
      </c>
      <c r="E83" s="30" t="s">
        <v>220</v>
      </c>
      <c r="F83" s="30" t="s">
        <v>177</v>
      </c>
    </row>
    <row r="84" spans="1:6">
      <c r="A84" s="35">
        <v>1</v>
      </c>
      <c r="B84" s="35">
        <v>2</v>
      </c>
      <c r="C84" s="35">
        <v>3</v>
      </c>
      <c r="D84" s="35">
        <v>4</v>
      </c>
      <c r="E84" s="35">
        <v>5</v>
      </c>
      <c r="F84" s="35">
        <v>6</v>
      </c>
    </row>
    <row r="85" spans="1:6">
      <c r="A85" s="36"/>
      <c r="B85" s="36"/>
      <c r="C85" s="36"/>
      <c r="D85" s="36"/>
      <c r="E85" s="36"/>
      <c r="F85" s="36"/>
    </row>
    <row r="86" spans="1:6">
      <c r="A86" s="36"/>
      <c r="B86" s="36"/>
      <c r="C86" s="36"/>
      <c r="D86" s="36"/>
      <c r="E86" s="36"/>
      <c r="F86" s="36"/>
    </row>
    <row r="87" spans="1:6" ht="18.75">
      <c r="A87" s="33"/>
      <c r="B87" s="37" t="s">
        <v>144</v>
      </c>
      <c r="C87" s="30" t="s">
        <v>31</v>
      </c>
      <c r="D87" s="30" t="s">
        <v>31</v>
      </c>
      <c r="E87" s="30" t="s">
        <v>31</v>
      </c>
      <c r="F87" s="33"/>
    </row>
    <row r="88" spans="1:6" ht="18.75">
      <c r="A88" s="34"/>
    </row>
    <row r="89" spans="1:6" ht="18.75">
      <c r="A89" s="198" t="s">
        <v>221</v>
      </c>
      <c r="B89" s="198"/>
      <c r="C89" s="198"/>
      <c r="D89" s="198"/>
      <c r="E89" s="198"/>
      <c r="F89" s="198"/>
    </row>
    <row r="90" spans="1:6" ht="18.75">
      <c r="A90" s="34"/>
    </row>
    <row r="91" spans="1:6" ht="31.5">
      <c r="A91" s="30" t="s">
        <v>90</v>
      </c>
      <c r="B91" s="30" t="s">
        <v>155</v>
      </c>
      <c r="C91" s="30" t="s">
        <v>222</v>
      </c>
      <c r="D91" s="30" t="s">
        <v>223</v>
      </c>
      <c r="E91" s="30" t="s">
        <v>224</v>
      </c>
    </row>
    <row r="92" spans="1:6">
      <c r="A92" s="35">
        <v>1</v>
      </c>
      <c r="B92" s="35">
        <v>2</v>
      </c>
      <c r="C92" s="35">
        <v>3</v>
      </c>
      <c r="D92" s="35">
        <v>4</v>
      </c>
      <c r="E92" s="35">
        <v>5</v>
      </c>
    </row>
    <row r="93" spans="1:6">
      <c r="A93" s="36"/>
      <c r="B93" s="36"/>
      <c r="C93" s="36"/>
      <c r="D93" s="36"/>
      <c r="E93" s="36"/>
    </row>
    <row r="94" spans="1:6">
      <c r="A94" s="36"/>
      <c r="B94" s="36"/>
      <c r="C94" s="36"/>
      <c r="D94" s="36"/>
      <c r="E94" s="36"/>
    </row>
    <row r="95" spans="1:6" ht="18.75">
      <c r="A95" s="33"/>
      <c r="B95" s="30" t="s">
        <v>207</v>
      </c>
      <c r="C95" s="33"/>
      <c r="D95" s="33"/>
      <c r="E95" s="33"/>
    </row>
    <row r="96" spans="1:6" ht="18.75">
      <c r="A96" s="34"/>
    </row>
    <row r="97" spans="1:6" ht="18.75">
      <c r="A97" s="198" t="s">
        <v>225</v>
      </c>
      <c r="B97" s="198"/>
      <c r="C97" s="198"/>
      <c r="D97" s="198"/>
      <c r="E97" s="198"/>
      <c r="F97" s="198"/>
    </row>
    <row r="98" spans="1:6" ht="18.75">
      <c r="A98" s="34"/>
    </row>
    <row r="99" spans="1:6" ht="47.25">
      <c r="A99" s="30" t="s">
        <v>90</v>
      </c>
      <c r="B99" s="30" t="s">
        <v>27</v>
      </c>
      <c r="C99" s="30" t="s">
        <v>226</v>
      </c>
      <c r="D99" s="30" t="s">
        <v>227</v>
      </c>
      <c r="E99" s="30" t="s">
        <v>224</v>
      </c>
    </row>
    <row r="100" spans="1:6">
      <c r="A100" s="35">
        <v>1</v>
      </c>
      <c r="B100" s="35">
        <v>2</v>
      </c>
      <c r="C100" s="35">
        <v>3</v>
      </c>
      <c r="D100" s="35">
        <v>4</v>
      </c>
      <c r="E100" s="35">
        <v>5</v>
      </c>
    </row>
    <row r="101" spans="1:6" ht="18.75">
      <c r="A101" s="35">
        <v>1</v>
      </c>
      <c r="B101" s="68" t="s">
        <v>276</v>
      </c>
      <c r="C101" s="110">
        <f>E101/D101</f>
        <v>718.79150024110868</v>
      </c>
      <c r="D101" s="104">
        <v>2198.1799999999998</v>
      </c>
      <c r="E101" s="105">
        <v>1580033.1</v>
      </c>
    </row>
    <row r="102" spans="1:6" ht="18.75">
      <c r="A102" s="35">
        <v>2</v>
      </c>
      <c r="B102" s="68" t="s">
        <v>277</v>
      </c>
      <c r="C102" s="110">
        <f t="shared" ref="C102:C107" si="0">E102/D102</f>
        <v>43.709956030150749</v>
      </c>
      <c r="D102" s="106">
        <v>127.36</v>
      </c>
      <c r="E102" s="107">
        <v>5566.9</v>
      </c>
      <c r="F102" s="69"/>
    </row>
    <row r="103" spans="1:6" ht="18.75">
      <c r="A103" s="35">
        <v>3</v>
      </c>
      <c r="B103" s="68" t="s">
        <v>278</v>
      </c>
      <c r="C103" s="110">
        <f t="shared" si="0"/>
        <v>446.00000000000006</v>
      </c>
      <c r="D103" s="106">
        <v>26.45</v>
      </c>
      <c r="E103" s="107">
        <v>11796.7</v>
      </c>
    </row>
    <row r="104" spans="1:6" ht="18.75">
      <c r="A104" s="35">
        <v>4</v>
      </c>
      <c r="B104" s="68" t="s">
        <v>279</v>
      </c>
      <c r="C104" s="110">
        <f t="shared" si="0"/>
        <v>25.795567241991105</v>
      </c>
      <c r="D104" s="104">
        <v>2198.1799999999998</v>
      </c>
      <c r="E104" s="105">
        <v>56703.3</v>
      </c>
    </row>
    <row r="105" spans="1:6" ht="18.75">
      <c r="A105" s="35">
        <v>5</v>
      </c>
      <c r="B105" s="68" t="s">
        <v>280</v>
      </c>
      <c r="C105" s="110">
        <f t="shared" si="0"/>
        <v>1247.6370510396976</v>
      </c>
      <c r="D105" s="104">
        <v>26.45</v>
      </c>
      <c r="E105" s="105">
        <v>33000</v>
      </c>
    </row>
    <row r="106" spans="1:6" ht="18.75">
      <c r="A106" s="35">
        <v>6</v>
      </c>
      <c r="B106" s="68" t="s">
        <v>281</v>
      </c>
      <c r="C106" s="110">
        <f t="shared" si="0"/>
        <v>2026.8061457992808</v>
      </c>
      <c r="D106" s="106">
        <v>30.59</v>
      </c>
      <c r="E106" s="105">
        <v>62000</v>
      </c>
    </row>
    <row r="107" spans="1:6" ht="18.75">
      <c r="A107" s="35">
        <v>7</v>
      </c>
      <c r="B107" s="68" t="s">
        <v>282</v>
      </c>
      <c r="C107" s="110">
        <f t="shared" si="0"/>
        <v>68537.735849056597</v>
      </c>
      <c r="D107" s="106">
        <v>6.36</v>
      </c>
      <c r="E107" s="105">
        <v>435900</v>
      </c>
    </row>
    <row r="108" spans="1:6" ht="18.75" hidden="1">
      <c r="A108" s="36"/>
      <c r="B108" s="68" t="s">
        <v>283</v>
      </c>
      <c r="C108" s="103">
        <v>0</v>
      </c>
      <c r="D108" s="108">
        <v>0</v>
      </c>
      <c r="E108" s="105">
        <v>0</v>
      </c>
    </row>
    <row r="109" spans="1:6" ht="18.75" hidden="1">
      <c r="A109" s="36"/>
      <c r="B109" s="68" t="s">
        <v>284</v>
      </c>
      <c r="C109" s="103">
        <f t="shared" ref="C109" si="1">E109/D109</f>
        <v>0</v>
      </c>
      <c r="D109" s="108">
        <v>400</v>
      </c>
      <c r="E109" s="105">
        <v>0</v>
      </c>
    </row>
    <row r="110" spans="1:6" ht="18.75">
      <c r="A110" s="36">
        <v>8</v>
      </c>
      <c r="B110" s="68" t="s">
        <v>284</v>
      </c>
      <c r="C110" s="103"/>
      <c r="D110" s="108"/>
      <c r="E110" s="105">
        <v>72700</v>
      </c>
    </row>
    <row r="111" spans="1:6" ht="18.75">
      <c r="A111" s="33"/>
      <c r="B111" s="37" t="s">
        <v>144</v>
      </c>
      <c r="C111" s="109" t="s">
        <v>31</v>
      </c>
      <c r="D111" s="109" t="s">
        <v>31</v>
      </c>
      <c r="E111" s="105">
        <f>SUM(E101:E110)</f>
        <v>2257700</v>
      </c>
    </row>
    <row r="112" spans="1:6" ht="18.75">
      <c r="A112" s="34"/>
    </row>
    <row r="113" spans="1:8" ht="18.75">
      <c r="A113" s="198" t="s">
        <v>228</v>
      </c>
      <c r="B113" s="198"/>
      <c r="C113" s="198"/>
      <c r="D113" s="198"/>
      <c r="E113" s="198"/>
      <c r="F113" s="198"/>
    </row>
    <row r="114" spans="1:8" ht="18.75">
      <c r="A114" s="34"/>
    </row>
    <row r="115" spans="1:8" ht="31.5">
      <c r="A115" s="30" t="s">
        <v>90</v>
      </c>
      <c r="B115" s="30" t="s">
        <v>27</v>
      </c>
      <c r="C115" s="30" t="s">
        <v>141</v>
      </c>
      <c r="D115" s="30" t="s">
        <v>229</v>
      </c>
      <c r="E115" s="30" t="s">
        <v>230</v>
      </c>
    </row>
    <row r="116" spans="1:8">
      <c r="A116" s="35">
        <v>1</v>
      </c>
      <c r="B116" s="35">
        <v>2</v>
      </c>
      <c r="C116" s="35">
        <v>3</v>
      </c>
      <c r="D116" s="35">
        <v>4</v>
      </c>
      <c r="E116" s="35">
        <v>5</v>
      </c>
    </row>
    <row r="117" spans="1:8">
      <c r="A117" s="36"/>
      <c r="B117" s="36"/>
      <c r="C117" s="36"/>
      <c r="D117" s="36"/>
      <c r="E117" s="36"/>
    </row>
    <row r="118" spans="1:8">
      <c r="A118" s="36"/>
      <c r="B118" s="36"/>
      <c r="C118" s="36"/>
      <c r="D118" s="36"/>
      <c r="E118" s="36"/>
    </row>
    <row r="119" spans="1:8" ht="18.75">
      <c r="A119" s="33"/>
      <c r="B119" s="37" t="s">
        <v>144</v>
      </c>
      <c r="C119" s="30" t="s">
        <v>31</v>
      </c>
      <c r="D119" s="30" t="s">
        <v>31</v>
      </c>
      <c r="E119" s="33"/>
    </row>
    <row r="120" spans="1:8" ht="18.75">
      <c r="A120" s="34"/>
    </row>
    <row r="121" spans="1:8" ht="18.75">
      <c r="A121" s="188" t="s">
        <v>231</v>
      </c>
      <c r="B121" s="188"/>
      <c r="C121" s="188"/>
      <c r="D121" s="188"/>
      <c r="E121" s="188"/>
      <c r="F121" s="188"/>
    </row>
    <row r="122" spans="1:8" ht="18.75">
      <c r="A122" s="34"/>
    </row>
    <row r="123" spans="1:8" ht="31.5">
      <c r="A123" s="76" t="s">
        <v>90</v>
      </c>
      <c r="B123" s="76" t="s">
        <v>155</v>
      </c>
      <c r="C123" s="76" t="s">
        <v>232</v>
      </c>
      <c r="D123" s="76" t="s">
        <v>233</v>
      </c>
      <c r="E123" s="76" t="s">
        <v>234</v>
      </c>
    </row>
    <row r="124" spans="1:8">
      <c r="A124" s="45">
        <v>1</v>
      </c>
      <c r="B124" s="45">
        <v>2</v>
      </c>
      <c r="C124" s="45">
        <v>3</v>
      </c>
      <c r="D124" s="45">
        <v>4</v>
      </c>
      <c r="E124" s="45">
        <v>5</v>
      </c>
    </row>
    <row r="125" spans="1:8" ht="15.75">
      <c r="A125" s="76">
        <v>1</v>
      </c>
      <c r="B125" s="76" t="s">
        <v>290</v>
      </c>
      <c r="C125" s="243"/>
      <c r="D125" s="45">
        <v>7</v>
      </c>
      <c r="E125" s="45">
        <v>1230248</v>
      </c>
      <c r="H125">
        <f>2145646.23/12</f>
        <v>178803.85250000001</v>
      </c>
    </row>
    <row r="126" spans="1:8" ht="15.75">
      <c r="A126" s="76">
        <v>2</v>
      </c>
      <c r="B126" s="76" t="s">
        <v>297</v>
      </c>
      <c r="C126" s="244"/>
      <c r="D126" s="45">
        <v>2</v>
      </c>
      <c r="E126" s="45">
        <f>4829*2</f>
        <v>9658</v>
      </c>
    </row>
    <row r="127" spans="1:8" ht="15.75">
      <c r="A127" s="76">
        <v>3</v>
      </c>
      <c r="B127" s="76" t="s">
        <v>298</v>
      </c>
      <c r="C127" s="244"/>
      <c r="D127" s="45">
        <v>2</v>
      </c>
      <c r="E127" s="45">
        <f>7797*2</f>
        <v>15594</v>
      </c>
    </row>
    <row r="128" spans="1:8" ht="18.75">
      <c r="A128" s="47">
        <v>4</v>
      </c>
      <c r="B128" s="47" t="s">
        <v>291</v>
      </c>
      <c r="C128" s="244"/>
      <c r="D128" s="45">
        <v>12</v>
      </c>
      <c r="E128" s="45">
        <v>11184</v>
      </c>
      <c r="H128">
        <f>E125/H125</f>
        <v>6.8804334067690176</v>
      </c>
    </row>
    <row r="129" spans="1:9" ht="18.75">
      <c r="A129" s="47">
        <v>5</v>
      </c>
      <c r="B129" s="47" t="s">
        <v>292</v>
      </c>
      <c r="C129" s="244"/>
      <c r="D129" s="45">
        <v>7</v>
      </c>
      <c r="E129" s="45">
        <f>3450*7</f>
        <v>24150</v>
      </c>
    </row>
    <row r="130" spans="1:9" ht="37.5">
      <c r="A130" s="47">
        <v>6</v>
      </c>
      <c r="B130" s="79" t="s">
        <v>293</v>
      </c>
      <c r="C130" s="244"/>
      <c r="D130" s="45">
        <v>5</v>
      </c>
      <c r="E130" s="45">
        <v>7392</v>
      </c>
      <c r="H130">
        <v>91600</v>
      </c>
    </row>
    <row r="131" spans="1:9" ht="18.75">
      <c r="A131" s="47">
        <v>7</v>
      </c>
      <c r="B131" s="47" t="s">
        <v>294</v>
      </c>
      <c r="C131" s="245"/>
      <c r="D131" s="45">
        <v>2</v>
      </c>
      <c r="E131" s="45">
        <f>24437*2</f>
        <v>48874</v>
      </c>
      <c r="H131">
        <f>H130-E128-E129-E130</f>
        <v>48874</v>
      </c>
    </row>
    <row r="132" spans="1:9">
      <c r="A132" s="45"/>
      <c r="B132" s="45"/>
      <c r="C132" s="45"/>
      <c r="D132" s="45"/>
      <c r="E132" s="45"/>
      <c r="H132" t="s">
        <v>295</v>
      </c>
      <c r="I132" t="s">
        <v>296</v>
      </c>
    </row>
    <row r="133" spans="1:9">
      <c r="A133" s="46"/>
      <c r="B133" s="46"/>
      <c r="C133" s="46"/>
      <c r="D133" s="46"/>
      <c r="E133" s="46"/>
      <c r="H133" s="80"/>
      <c r="I133">
        <f>293239.58/12</f>
        <v>24436.631666666668</v>
      </c>
    </row>
    <row r="134" spans="1:9">
      <c r="A134" s="46"/>
      <c r="B134" s="46"/>
      <c r="C134" s="46"/>
      <c r="D134" s="46"/>
      <c r="E134" s="46"/>
    </row>
    <row r="135" spans="1:9" ht="18.75">
      <c r="A135" s="47"/>
      <c r="B135" s="48" t="s">
        <v>144</v>
      </c>
      <c r="C135" s="76" t="s">
        <v>31</v>
      </c>
      <c r="D135" s="76" t="s">
        <v>31</v>
      </c>
      <c r="E135" s="47">
        <f>E125+E128+E129+E130+E131+E126+E127</f>
        <v>1347100</v>
      </c>
    </row>
    <row r="136" spans="1:9" ht="18.75">
      <c r="A136" s="34"/>
    </row>
    <row r="137" spans="1:9" ht="18.75">
      <c r="A137" s="198" t="s">
        <v>235</v>
      </c>
      <c r="B137" s="198"/>
      <c r="C137" s="198"/>
      <c r="D137" s="198"/>
      <c r="E137" s="198"/>
      <c r="F137" s="198"/>
      <c r="H137">
        <f>E128+E129+E130+E131</f>
        <v>91600</v>
      </c>
    </row>
    <row r="138" spans="1:9" ht="18.75">
      <c r="A138" s="34"/>
    </row>
    <row r="139" spans="1:9" ht="31.5">
      <c r="A139" s="30" t="s">
        <v>90</v>
      </c>
      <c r="B139" s="30" t="s">
        <v>155</v>
      </c>
      <c r="C139" s="30" t="s">
        <v>152</v>
      </c>
      <c r="D139" s="30" t="s">
        <v>230</v>
      </c>
      <c r="H139" s="69">
        <f>E111+E135+D143</f>
        <v>4017600</v>
      </c>
    </row>
    <row r="140" spans="1:9">
      <c r="A140" s="35">
        <v>1</v>
      </c>
      <c r="B140" s="35">
        <v>2</v>
      </c>
      <c r="C140" s="35">
        <v>3</v>
      </c>
      <c r="D140" s="35">
        <v>4</v>
      </c>
      <c r="F140" s="69"/>
    </row>
    <row r="141" spans="1:9" ht="18.75">
      <c r="A141" s="33">
        <v>1</v>
      </c>
      <c r="B141" s="33" t="s">
        <v>289</v>
      </c>
      <c r="C141" s="33">
        <v>1</v>
      </c>
      <c r="D141" s="35">
        <v>412800</v>
      </c>
    </row>
    <row r="142" spans="1:9">
      <c r="A142" s="36"/>
      <c r="B142" s="36"/>
      <c r="C142" s="36"/>
      <c r="D142" s="36"/>
    </row>
    <row r="143" spans="1:9" ht="18.75">
      <c r="A143" s="33"/>
      <c r="B143" s="37" t="s">
        <v>144</v>
      </c>
      <c r="C143" s="30" t="s">
        <v>31</v>
      </c>
      <c r="D143" s="35">
        <v>412800</v>
      </c>
    </row>
    <row r="144" spans="1:9" ht="18.75">
      <c r="A144" s="34"/>
    </row>
    <row r="145" spans="1:6" ht="18.75">
      <c r="A145" s="198" t="s">
        <v>236</v>
      </c>
      <c r="B145" s="198"/>
      <c r="C145" s="198"/>
      <c r="D145" s="198"/>
      <c r="E145" s="198"/>
      <c r="F145" s="198"/>
    </row>
    <row r="146" spans="1:6" ht="18.75">
      <c r="A146" s="34"/>
    </row>
    <row r="147" spans="1:6" ht="31.5">
      <c r="A147" s="30" t="s">
        <v>90</v>
      </c>
      <c r="B147" s="30" t="s">
        <v>155</v>
      </c>
      <c r="C147" s="30" t="s">
        <v>141</v>
      </c>
      <c r="D147" s="30" t="s">
        <v>237</v>
      </c>
      <c r="E147" s="30" t="s">
        <v>224</v>
      </c>
    </row>
    <row r="148" spans="1:6">
      <c r="A148" s="35">
        <v>1</v>
      </c>
      <c r="B148" s="35">
        <v>2</v>
      </c>
      <c r="C148" s="35">
        <v>3</v>
      </c>
      <c r="D148" s="35">
        <v>4</v>
      </c>
      <c r="E148" s="35">
        <v>5</v>
      </c>
    </row>
    <row r="149" spans="1:6">
      <c r="A149" s="36"/>
      <c r="B149" s="36"/>
      <c r="C149" s="36"/>
      <c r="D149" s="36"/>
      <c r="E149" s="36"/>
    </row>
    <row r="150" spans="1:6">
      <c r="A150" s="36"/>
      <c r="B150" s="36"/>
      <c r="C150" s="36"/>
      <c r="D150" s="36"/>
      <c r="E150" s="36"/>
    </row>
    <row r="151" spans="1:6" ht="18.75">
      <c r="A151" s="33"/>
      <c r="B151" s="37" t="s">
        <v>144</v>
      </c>
      <c r="C151" s="30" t="s">
        <v>31</v>
      </c>
      <c r="D151" s="30" t="s">
        <v>31</v>
      </c>
      <c r="E151" s="33"/>
    </row>
    <row r="152" spans="1:6" ht="18.75">
      <c r="A152" s="34"/>
    </row>
    <row r="153" spans="1:6" ht="18.75">
      <c r="A153" s="188" t="s">
        <v>238</v>
      </c>
      <c r="B153" s="188"/>
      <c r="C153" s="188"/>
      <c r="D153" s="188"/>
      <c r="E153" s="188"/>
      <c r="F153" s="188"/>
    </row>
    <row r="154" spans="1:6" ht="18.75">
      <c r="A154" s="72"/>
    </row>
    <row r="155" spans="1:6" ht="31.5">
      <c r="A155" s="30" t="s">
        <v>90</v>
      </c>
      <c r="B155" s="30" t="s">
        <v>155</v>
      </c>
      <c r="C155" s="30" t="s">
        <v>141</v>
      </c>
      <c r="D155" s="30" t="s">
        <v>237</v>
      </c>
      <c r="E155" s="30" t="s">
        <v>224</v>
      </c>
    </row>
    <row r="156" spans="1:6">
      <c r="A156" s="35">
        <v>1</v>
      </c>
      <c r="B156" s="35">
        <v>2</v>
      </c>
      <c r="C156" s="35">
        <v>3</v>
      </c>
      <c r="D156" s="35">
        <v>4</v>
      </c>
      <c r="E156" s="35">
        <v>5</v>
      </c>
    </row>
    <row r="157" spans="1:6">
      <c r="A157" s="36"/>
      <c r="B157" s="36"/>
      <c r="C157" s="36"/>
      <c r="D157" s="36"/>
      <c r="E157" s="36"/>
    </row>
    <row r="158" spans="1:6">
      <c r="A158" s="36"/>
      <c r="B158" s="36"/>
      <c r="C158" s="36"/>
      <c r="D158" s="36"/>
      <c r="E158" s="36"/>
    </row>
    <row r="159" spans="1:6" ht="18.75">
      <c r="A159" s="33"/>
      <c r="B159" s="37" t="s">
        <v>144</v>
      </c>
      <c r="C159" s="30" t="s">
        <v>31</v>
      </c>
      <c r="D159" s="30" t="s">
        <v>31</v>
      </c>
      <c r="E159" s="33"/>
    </row>
    <row r="160" spans="1:6" ht="18.75">
      <c r="A160" s="52"/>
      <c r="B160" s="53"/>
      <c r="C160" s="54"/>
      <c r="D160" s="54"/>
      <c r="E160" s="52"/>
    </row>
    <row r="161" spans="1:3" ht="15.75" hidden="1">
      <c r="A161" s="49" t="s">
        <v>240</v>
      </c>
      <c r="B161" s="50" t="s">
        <v>241</v>
      </c>
      <c r="C161" s="51" t="s">
        <v>242</v>
      </c>
    </row>
    <row r="162" spans="1:3" ht="15.75" hidden="1">
      <c r="A162" s="49"/>
      <c r="B162" s="51" t="s">
        <v>243</v>
      </c>
      <c r="C162" s="51" t="s">
        <v>244</v>
      </c>
    </row>
    <row r="163" spans="1:3" ht="15.75" hidden="1">
      <c r="A163" s="49"/>
      <c r="B163" s="49"/>
      <c r="C163" s="49"/>
    </row>
    <row r="164" spans="1:3" ht="15.75" hidden="1">
      <c r="A164" s="51" t="s">
        <v>245</v>
      </c>
      <c r="B164" s="49"/>
      <c r="C164" s="49"/>
    </row>
    <row r="165" spans="1:3" ht="15.75" hidden="1">
      <c r="A165" s="49"/>
      <c r="B165" s="49"/>
      <c r="C165" s="49"/>
    </row>
    <row r="166" spans="1:3" ht="15.75" hidden="1">
      <c r="A166" s="49" t="s">
        <v>246</v>
      </c>
      <c r="B166" s="50" t="s">
        <v>241</v>
      </c>
      <c r="C166" s="50" t="s">
        <v>247</v>
      </c>
    </row>
    <row r="167" spans="1:3" ht="15.75" hidden="1">
      <c r="A167" s="49"/>
      <c r="B167" s="51" t="s">
        <v>243</v>
      </c>
      <c r="C167" s="51" t="s">
        <v>244</v>
      </c>
    </row>
    <row r="168" spans="1:3" ht="15.75" hidden="1">
      <c r="A168" s="49"/>
      <c r="B168" s="49"/>
      <c r="C168" s="49"/>
    </row>
    <row r="169" spans="1:3" ht="15.75" hidden="1">
      <c r="A169" s="51" t="s">
        <v>245</v>
      </c>
      <c r="B169" s="49"/>
      <c r="C169" s="49"/>
    </row>
    <row r="170" spans="1:3" ht="15.75" hidden="1">
      <c r="A170" s="49"/>
      <c r="B170" s="49"/>
      <c r="C170" s="49"/>
    </row>
    <row r="171" spans="1:3" ht="15.75" hidden="1">
      <c r="A171" s="49" t="s">
        <v>248</v>
      </c>
      <c r="B171" s="50" t="s">
        <v>241</v>
      </c>
      <c r="C171" s="51" t="s">
        <v>251</v>
      </c>
    </row>
    <row r="172" spans="1:3" ht="15.75" hidden="1">
      <c r="A172" s="49"/>
      <c r="B172" s="51" t="s">
        <v>243</v>
      </c>
      <c r="C172" s="51" t="s">
        <v>244</v>
      </c>
    </row>
    <row r="173" spans="1:3" ht="15.75" hidden="1">
      <c r="A173" s="49"/>
      <c r="B173" s="49"/>
      <c r="C173" s="50" t="s">
        <v>249</v>
      </c>
    </row>
    <row r="174" spans="1:3" ht="15.75" hidden="1">
      <c r="A174" s="49"/>
      <c r="B174" s="49"/>
      <c r="C174" s="51" t="s">
        <v>250</v>
      </c>
    </row>
    <row r="175" spans="1:3" hidden="1"/>
    <row r="176" spans="1:3" hidden="1"/>
    <row r="177" hidden="1"/>
    <row r="178" hidden="1"/>
    <row r="179" hidden="1"/>
    <row r="180" hidden="1"/>
    <row r="181" hidden="1"/>
    <row r="182" hidden="1"/>
    <row r="183" hidden="1"/>
  </sheetData>
  <mergeCells count="30">
    <mergeCell ref="A35:F35"/>
    <mergeCell ref="A1:F1"/>
    <mergeCell ref="A9:F9"/>
    <mergeCell ref="A17:F17"/>
    <mergeCell ref="A26:A27"/>
    <mergeCell ref="D26:D27"/>
    <mergeCell ref="A69:E69"/>
    <mergeCell ref="A37:F37"/>
    <mergeCell ref="A38:F38"/>
    <mergeCell ref="A39:F39"/>
    <mergeCell ref="A47:F47"/>
    <mergeCell ref="A48:E48"/>
    <mergeCell ref="A49:E49"/>
    <mergeCell ref="A57:F57"/>
    <mergeCell ref="A58:E58"/>
    <mergeCell ref="A59:E59"/>
    <mergeCell ref="A67:F67"/>
    <mergeCell ref="A68:E68"/>
    <mergeCell ref="A153:F153"/>
    <mergeCell ref="A77:F77"/>
    <mergeCell ref="A78:F78"/>
    <mergeCell ref="A79:F79"/>
    <mergeCell ref="A81:F81"/>
    <mergeCell ref="A89:F89"/>
    <mergeCell ref="A97:F97"/>
    <mergeCell ref="A113:F113"/>
    <mergeCell ref="A121:F121"/>
    <mergeCell ref="C125:C131"/>
    <mergeCell ref="A137:F137"/>
    <mergeCell ref="A145:F145"/>
  </mergeCells>
  <hyperlinks>
    <hyperlink ref="B30" location="Par1250" tooltip="    &lt;*&gt;   Указываются   страховые  тарифы,  дифференцированные  по  классам" display="Par1250"/>
    <hyperlink ref="B31" location="Par1250" tooltip="    &lt;*&gt;   Указываются   страховые  тарифы,  дифференцированные  по  классам" display="Par1250"/>
  </hyperlinks>
  <pageMargins left="0" right="0" top="0" bottom="0" header="0" footer="0"/>
  <pageSetup paperSize="9" scale="60" orientation="landscape" r:id="rId1"/>
  <rowBreaks count="1" manualBreakCount="1">
    <brk id="3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I97"/>
  <sheetViews>
    <sheetView view="pageBreakPreview" topLeftCell="A7" zoomScale="60" workbookViewId="0">
      <selection activeCell="C33" sqref="C33"/>
    </sheetView>
  </sheetViews>
  <sheetFormatPr defaultRowHeight="15"/>
  <cols>
    <col min="1" max="1" width="32.28515625" customWidth="1"/>
    <col min="2" max="2" width="63.7109375" customWidth="1"/>
    <col min="3" max="3" width="20.85546875" customWidth="1"/>
    <col min="4" max="6" width="18.28515625" customWidth="1"/>
    <col min="8" max="8" width="28.42578125" customWidth="1"/>
  </cols>
  <sheetData>
    <row r="1" spans="1:6" ht="18.75">
      <c r="A1" s="198" t="s">
        <v>173</v>
      </c>
      <c r="B1" s="198"/>
      <c r="C1" s="198"/>
      <c r="D1" s="198"/>
      <c r="E1" s="198"/>
      <c r="F1" s="198"/>
    </row>
    <row r="2" spans="1:6" ht="18.75">
      <c r="A2" s="34"/>
    </row>
    <row r="3" spans="1:6" ht="63">
      <c r="A3" s="30" t="s">
        <v>90</v>
      </c>
      <c r="B3" s="30" t="s">
        <v>155</v>
      </c>
      <c r="C3" s="30" t="s">
        <v>174</v>
      </c>
      <c r="D3" s="30" t="s">
        <v>175</v>
      </c>
      <c r="E3" s="30" t="s">
        <v>176</v>
      </c>
      <c r="F3" s="30" t="s">
        <v>177</v>
      </c>
    </row>
    <row r="4" spans="1:6">
      <c r="A4" s="35">
        <v>1</v>
      </c>
      <c r="B4" s="35">
        <v>2</v>
      </c>
      <c r="C4" s="35">
        <v>3</v>
      </c>
      <c r="D4" s="35">
        <v>4</v>
      </c>
      <c r="E4" s="35">
        <v>5</v>
      </c>
      <c r="F4" s="35">
        <v>6</v>
      </c>
    </row>
    <row r="5" spans="1:6">
      <c r="A5" s="36"/>
      <c r="B5" s="36"/>
      <c r="C5" s="36"/>
      <c r="D5" s="36"/>
      <c r="E5" s="36"/>
      <c r="F5" s="36"/>
    </row>
    <row r="6" spans="1:6">
      <c r="A6" s="36"/>
      <c r="B6" s="36"/>
      <c r="C6" s="36"/>
      <c r="D6" s="36"/>
      <c r="E6" s="36"/>
      <c r="F6" s="36"/>
    </row>
    <row r="7" spans="1:6" ht="18.75">
      <c r="A7" s="33"/>
      <c r="B7" s="37" t="s">
        <v>144</v>
      </c>
      <c r="C7" s="30" t="s">
        <v>31</v>
      </c>
      <c r="D7" s="33"/>
      <c r="E7" s="33"/>
      <c r="F7" s="33"/>
    </row>
    <row r="8" spans="1:6" ht="18.75">
      <c r="A8" s="34"/>
    </row>
    <row r="9" spans="1:6" ht="18.75">
      <c r="A9" s="198" t="s">
        <v>239</v>
      </c>
      <c r="B9" s="198"/>
      <c r="C9" s="198"/>
      <c r="D9" s="198"/>
      <c r="E9" s="198"/>
      <c r="F9" s="198"/>
    </row>
    <row r="10" spans="1:6" ht="18.75">
      <c r="A10" s="34" t="s">
        <v>147</v>
      </c>
    </row>
    <row r="11" spans="1:6" ht="63">
      <c r="A11" s="30" t="s">
        <v>90</v>
      </c>
      <c r="B11" s="30" t="s">
        <v>155</v>
      </c>
      <c r="C11" s="30" t="s">
        <v>178</v>
      </c>
      <c r="D11" s="30" t="s">
        <v>179</v>
      </c>
      <c r="E11" s="30" t="s">
        <v>180</v>
      </c>
      <c r="F11" s="30" t="s">
        <v>177</v>
      </c>
    </row>
    <row r="12" spans="1:6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</row>
    <row r="13" spans="1:6">
      <c r="A13" s="36"/>
      <c r="B13" s="36"/>
      <c r="C13" s="36"/>
      <c r="D13" s="36"/>
      <c r="E13" s="36"/>
      <c r="F13" s="36"/>
    </row>
    <row r="14" spans="1:6">
      <c r="A14" s="36"/>
      <c r="B14" s="36"/>
      <c r="C14" s="36"/>
      <c r="D14" s="36"/>
      <c r="E14" s="36"/>
      <c r="F14" s="36"/>
    </row>
    <row r="15" spans="1:6" ht="18.75">
      <c r="A15" s="33"/>
      <c r="B15" s="37" t="s">
        <v>144</v>
      </c>
      <c r="C15" s="30" t="s">
        <v>31</v>
      </c>
      <c r="D15" s="33"/>
      <c r="E15" s="33"/>
      <c r="F15" s="33"/>
    </row>
    <row r="16" spans="1:6" ht="18.75">
      <c r="A16" s="34"/>
    </row>
    <row r="17" spans="1:9" ht="55.5" customHeight="1">
      <c r="A17" s="190" t="s">
        <v>181</v>
      </c>
      <c r="B17" s="190"/>
      <c r="C17" s="190"/>
      <c r="D17" s="190"/>
      <c r="E17" s="190"/>
      <c r="F17" s="190"/>
    </row>
    <row r="18" spans="1:9" ht="18.75">
      <c r="A18" s="34"/>
    </row>
    <row r="19" spans="1:9" ht="63">
      <c r="A19" s="38" t="s">
        <v>90</v>
      </c>
      <c r="B19" s="38" t="s">
        <v>182</v>
      </c>
      <c r="C19" s="38" t="s">
        <v>183</v>
      </c>
      <c r="D19" s="38" t="s">
        <v>184</v>
      </c>
    </row>
    <row r="20" spans="1:9">
      <c r="A20" s="39">
        <v>1</v>
      </c>
      <c r="B20" s="39">
        <v>2</v>
      </c>
      <c r="C20" s="39">
        <v>3</v>
      </c>
      <c r="D20" s="39">
        <v>4</v>
      </c>
    </row>
    <row r="21" spans="1:9" ht="31.5">
      <c r="A21" s="59">
        <v>1</v>
      </c>
      <c r="B21" s="40" t="s">
        <v>185</v>
      </c>
      <c r="C21" s="59" t="s">
        <v>31</v>
      </c>
      <c r="D21" s="62">
        <f>D22+D23+D24</f>
        <v>451080</v>
      </c>
    </row>
    <row r="22" spans="1:9" ht="15.75">
      <c r="A22" s="59" t="s">
        <v>94</v>
      </c>
      <c r="B22" s="41" t="s">
        <v>186</v>
      </c>
      <c r="C22" s="59">
        <f>2211400+44000</f>
        <v>2255400</v>
      </c>
      <c r="D22" s="59">
        <f>C22*0.2</f>
        <v>451080</v>
      </c>
    </row>
    <row r="23" spans="1:9" ht="15.75">
      <c r="A23" s="59" t="s">
        <v>95</v>
      </c>
      <c r="B23" s="40" t="s">
        <v>187</v>
      </c>
      <c r="C23" s="59"/>
      <c r="D23" s="59"/>
    </row>
    <row r="24" spans="1:9" ht="47.25">
      <c r="A24" s="59" t="s">
        <v>96</v>
      </c>
      <c r="B24" s="40" t="s">
        <v>188</v>
      </c>
      <c r="C24" s="59"/>
      <c r="D24" s="59"/>
      <c r="E24" t="s">
        <v>319</v>
      </c>
    </row>
    <row r="25" spans="1:9" ht="31.5">
      <c r="A25" s="59">
        <v>2</v>
      </c>
      <c r="B25" s="40" t="s">
        <v>189</v>
      </c>
      <c r="C25" s="59" t="s">
        <v>31</v>
      </c>
      <c r="D25" s="63">
        <f>D26+D28+D29+D30+D31</f>
        <v>114894.59999999999</v>
      </c>
    </row>
    <row r="26" spans="1:9" ht="15.75">
      <c r="A26" s="247" t="s">
        <v>190</v>
      </c>
      <c r="B26" s="40" t="s">
        <v>191</v>
      </c>
      <c r="C26" s="77">
        <f>2211400+44000</f>
        <v>2255400</v>
      </c>
      <c r="D26" s="249">
        <f>(C26*2.9%)+44977.2</f>
        <v>110383.79999999999</v>
      </c>
    </row>
    <row r="27" spans="1:9" ht="31.5" customHeight="1">
      <c r="A27" s="247"/>
      <c r="B27" s="40" t="s">
        <v>192</v>
      </c>
      <c r="C27" s="77">
        <f>2211400+44000</f>
        <v>2255400</v>
      </c>
      <c r="D27" s="249"/>
    </row>
    <row r="28" spans="1:9" ht="31.5">
      <c r="A28" s="59" t="s">
        <v>193</v>
      </c>
      <c r="B28" s="40" t="s">
        <v>194</v>
      </c>
      <c r="C28" s="59"/>
      <c r="D28" s="59"/>
    </row>
    <row r="29" spans="1:9" ht="47.25">
      <c r="A29" s="59" t="s">
        <v>195</v>
      </c>
      <c r="B29" s="40" t="s">
        <v>196</v>
      </c>
      <c r="C29" s="77">
        <f>2211400+44000</f>
        <v>2255400</v>
      </c>
      <c r="D29" s="62">
        <f>C29*0.2%</f>
        <v>4510.8</v>
      </c>
      <c r="I29" s="64"/>
    </row>
    <row r="30" spans="1:9" ht="45">
      <c r="A30" s="59" t="s">
        <v>197</v>
      </c>
      <c r="B30" s="42" t="s">
        <v>198</v>
      </c>
      <c r="C30" s="59"/>
      <c r="D30" s="59"/>
    </row>
    <row r="31" spans="1:9" ht="45">
      <c r="A31" s="59" t="s">
        <v>199</v>
      </c>
      <c r="B31" s="42" t="s">
        <v>198</v>
      </c>
      <c r="C31" s="59"/>
      <c r="D31" s="59"/>
    </row>
    <row r="32" spans="1:9" ht="31.5">
      <c r="A32" s="59">
        <v>3</v>
      </c>
      <c r="B32" s="40" t="s">
        <v>200</v>
      </c>
      <c r="C32" s="77">
        <f>2211400+44000</f>
        <v>2255400</v>
      </c>
      <c r="D32" s="63">
        <f>C32*5.1%</f>
        <v>115025.4</v>
      </c>
      <c r="E32" s="64">
        <f>681000-D33</f>
        <v>0</v>
      </c>
    </row>
    <row r="33" spans="1:9" ht="15.75">
      <c r="A33" s="59"/>
      <c r="B33" s="43" t="s">
        <v>144</v>
      </c>
      <c r="C33" s="59" t="s">
        <v>31</v>
      </c>
      <c r="D33" s="65">
        <f>D21+D25+D32</f>
        <v>681000</v>
      </c>
    </row>
    <row r="34" spans="1:9" ht="18.75">
      <c r="A34" s="34"/>
    </row>
    <row r="35" spans="1:9" ht="55.5" customHeight="1">
      <c r="A35" s="190" t="s">
        <v>181</v>
      </c>
      <c r="B35" s="190"/>
      <c r="C35" s="190"/>
      <c r="D35" s="190"/>
      <c r="E35" s="190"/>
      <c r="F35" s="190"/>
    </row>
    <row r="36" spans="1:9" ht="18.75">
      <c r="A36" s="34"/>
    </row>
    <row r="37" spans="1:9" ht="63">
      <c r="A37" s="38" t="s">
        <v>90</v>
      </c>
      <c r="B37" s="38" t="s">
        <v>182</v>
      </c>
      <c r="C37" s="38" t="s">
        <v>183</v>
      </c>
      <c r="D37" s="38" t="s">
        <v>184</v>
      </c>
    </row>
    <row r="38" spans="1:9">
      <c r="A38" s="39">
        <v>1</v>
      </c>
      <c r="B38" s="39">
        <v>2</v>
      </c>
      <c r="C38" s="39">
        <v>3</v>
      </c>
      <c r="D38" s="39">
        <v>4</v>
      </c>
    </row>
    <row r="39" spans="1:9" ht="31.5">
      <c r="A39" s="77">
        <v>1</v>
      </c>
      <c r="B39" s="40" t="s">
        <v>185</v>
      </c>
      <c r="C39" s="77" t="s">
        <v>31</v>
      </c>
      <c r="D39" s="62">
        <f>D40+D41+D42</f>
        <v>4306580</v>
      </c>
    </row>
    <row r="40" spans="1:9" ht="15.75">
      <c r="A40" s="77" t="s">
        <v>94</v>
      </c>
      <c r="B40" s="41" t="s">
        <v>186</v>
      </c>
      <c r="C40" s="77">
        <f>21110800+422100</f>
        <v>21532900</v>
      </c>
      <c r="D40" s="77">
        <f>C40*0.2</f>
        <v>4306580</v>
      </c>
    </row>
    <row r="41" spans="1:9" ht="15.75">
      <c r="A41" s="77" t="s">
        <v>95</v>
      </c>
      <c r="B41" s="40" t="s">
        <v>187</v>
      </c>
      <c r="C41" s="77"/>
      <c r="D41" s="77"/>
    </row>
    <row r="42" spans="1:9" ht="47.25">
      <c r="A42" s="77" t="s">
        <v>96</v>
      </c>
      <c r="B42" s="40" t="s">
        <v>188</v>
      </c>
      <c r="C42" s="77"/>
      <c r="D42" s="77"/>
      <c r="E42" t="s">
        <v>320</v>
      </c>
    </row>
    <row r="43" spans="1:9" ht="31.5">
      <c r="A43" s="77">
        <v>2</v>
      </c>
      <c r="B43" s="40" t="s">
        <v>189</v>
      </c>
      <c r="C43" s="77" t="s">
        <v>31</v>
      </c>
      <c r="D43" s="78">
        <f>D44+D46+D47+D48+D49</f>
        <v>1098042.1000000001</v>
      </c>
    </row>
    <row r="44" spans="1:9" ht="15.75">
      <c r="A44" s="247" t="s">
        <v>190</v>
      </c>
      <c r="B44" s="40" t="s">
        <v>191</v>
      </c>
      <c r="C44" s="77">
        <f>21110800+422100</f>
        <v>21532900</v>
      </c>
      <c r="D44" s="249">
        <f>(C44*2.9%)+430522.2</f>
        <v>1054976.3</v>
      </c>
    </row>
    <row r="45" spans="1:9" ht="31.5" customHeight="1">
      <c r="A45" s="247"/>
      <c r="B45" s="40" t="s">
        <v>192</v>
      </c>
      <c r="C45" s="77">
        <f>21110800+422100</f>
        <v>21532900</v>
      </c>
      <c r="D45" s="249"/>
    </row>
    <row r="46" spans="1:9" ht="31.5">
      <c r="A46" s="77" t="s">
        <v>193</v>
      </c>
      <c r="B46" s="40" t="s">
        <v>194</v>
      </c>
      <c r="C46" s="77"/>
      <c r="D46" s="77"/>
    </row>
    <row r="47" spans="1:9" ht="47.25">
      <c r="A47" s="77" t="s">
        <v>195</v>
      </c>
      <c r="B47" s="40" t="s">
        <v>196</v>
      </c>
      <c r="C47" s="77">
        <f>21110800+422100</f>
        <v>21532900</v>
      </c>
      <c r="D47" s="62">
        <f>C47*0.2%</f>
        <v>43065.8</v>
      </c>
      <c r="I47" s="64"/>
    </row>
    <row r="48" spans="1:9" ht="45">
      <c r="A48" s="77" t="s">
        <v>197</v>
      </c>
      <c r="B48" s="42" t="s">
        <v>198</v>
      </c>
      <c r="C48" s="77"/>
      <c r="D48" s="77"/>
    </row>
    <row r="49" spans="1:6" ht="45">
      <c r="A49" s="77" t="s">
        <v>199</v>
      </c>
      <c r="B49" s="42" t="s">
        <v>198</v>
      </c>
      <c r="C49" s="77"/>
      <c r="D49" s="77"/>
    </row>
    <row r="50" spans="1:6" ht="31.5">
      <c r="A50" s="77">
        <v>3</v>
      </c>
      <c r="B50" s="40" t="s">
        <v>200</v>
      </c>
      <c r="C50" s="77">
        <f>21110800+422100</f>
        <v>21532900</v>
      </c>
      <c r="D50" s="78">
        <f>C50*5.1%</f>
        <v>1098177.8999999999</v>
      </c>
      <c r="E50" s="64">
        <f>6502800-D51</f>
        <v>0</v>
      </c>
    </row>
    <row r="51" spans="1:6" ht="15.75">
      <c r="A51" s="77"/>
      <c r="B51" s="43" t="s">
        <v>144</v>
      </c>
      <c r="C51" s="77" t="s">
        <v>31</v>
      </c>
      <c r="D51" s="65">
        <f>D39+D43+D50</f>
        <v>6502800</v>
      </c>
    </row>
    <row r="52" spans="1:6" ht="78.75" customHeight="1">
      <c r="A52" s="190" t="s">
        <v>201</v>
      </c>
      <c r="B52" s="190"/>
      <c r="C52" s="190"/>
      <c r="D52" s="190"/>
      <c r="E52" s="190"/>
      <c r="F52" s="190"/>
    </row>
    <row r="53" spans="1:6" ht="18.75">
      <c r="A53" s="34"/>
    </row>
    <row r="54" spans="1:6" ht="18.75">
      <c r="A54" s="198" t="s">
        <v>202</v>
      </c>
      <c r="B54" s="198"/>
      <c r="C54" s="198"/>
      <c r="D54" s="198"/>
      <c r="E54" s="198"/>
      <c r="F54" s="198"/>
    </row>
    <row r="55" spans="1:6" s="84" customFormat="1" ht="17.25" customHeight="1">
      <c r="A55" s="246" t="s">
        <v>299</v>
      </c>
      <c r="B55" s="246"/>
      <c r="C55" s="246"/>
      <c r="D55" s="246"/>
      <c r="E55" s="246"/>
      <c r="F55" s="246"/>
    </row>
    <row r="56" spans="1:6" ht="19.899999999999999" customHeight="1">
      <c r="A56" s="189" t="s">
        <v>285</v>
      </c>
      <c r="B56" s="189"/>
      <c r="C56" s="189"/>
      <c r="D56" s="189"/>
      <c r="E56" s="189"/>
      <c r="F56" s="189"/>
    </row>
    <row r="57" spans="1:6" ht="18.75">
      <c r="A57" s="34"/>
    </row>
    <row r="58" spans="1:6" ht="47.25">
      <c r="A58" s="87" t="s">
        <v>90</v>
      </c>
      <c r="B58" s="87" t="s">
        <v>27</v>
      </c>
      <c r="C58" s="87" t="s">
        <v>205</v>
      </c>
      <c r="D58" s="87" t="s">
        <v>157</v>
      </c>
      <c r="E58" s="87" t="s">
        <v>206</v>
      </c>
    </row>
    <row r="59" spans="1:6">
      <c r="A59" s="35">
        <v>1</v>
      </c>
      <c r="B59" s="35">
        <v>2</v>
      </c>
      <c r="C59" s="35">
        <v>3</v>
      </c>
      <c r="D59" s="35">
        <v>4</v>
      </c>
      <c r="E59" s="35">
        <v>5</v>
      </c>
    </row>
    <row r="60" spans="1:6" ht="37.5">
      <c r="A60" s="33">
        <v>1</v>
      </c>
      <c r="B60" s="33" t="s">
        <v>300</v>
      </c>
      <c r="C60" s="85">
        <v>90</v>
      </c>
      <c r="D60" s="85">
        <f>172*2</f>
        <v>344</v>
      </c>
      <c r="E60" s="85">
        <f>C60*D60</f>
        <v>30960</v>
      </c>
    </row>
    <row r="61" spans="1:6" ht="18.75">
      <c r="A61" s="33"/>
      <c r="B61" s="87" t="s">
        <v>207</v>
      </c>
      <c r="C61" s="87" t="s">
        <v>31</v>
      </c>
      <c r="D61" s="87" t="s">
        <v>31</v>
      </c>
      <c r="E61" s="86">
        <f>E60</f>
        <v>30960</v>
      </c>
    </row>
    <row r="62" spans="1:6" ht="18.75">
      <c r="A62" s="198" t="s">
        <v>236</v>
      </c>
      <c r="B62" s="198"/>
      <c r="C62" s="198"/>
      <c r="D62" s="198"/>
      <c r="E62" s="198"/>
      <c r="F62" s="198"/>
    </row>
    <row r="63" spans="1:6" ht="18.75">
      <c r="A63" s="34"/>
    </row>
    <row r="64" spans="1:6" ht="31.5">
      <c r="A64" s="30" t="s">
        <v>90</v>
      </c>
      <c r="B64" s="30" t="s">
        <v>155</v>
      </c>
      <c r="C64" s="30" t="s">
        <v>141</v>
      </c>
      <c r="D64" s="30" t="s">
        <v>237</v>
      </c>
      <c r="E64" s="30" t="s">
        <v>224</v>
      </c>
    </row>
    <row r="65" spans="1:6">
      <c r="A65" s="35">
        <v>1</v>
      </c>
      <c r="B65" s="35">
        <v>2</v>
      </c>
      <c r="C65" s="35">
        <v>3</v>
      </c>
      <c r="D65" s="35">
        <v>4</v>
      </c>
      <c r="E65" s="35">
        <v>5</v>
      </c>
    </row>
    <row r="66" spans="1:6">
      <c r="A66" s="36"/>
      <c r="B66" s="36"/>
      <c r="C66" s="36"/>
      <c r="D66" s="36"/>
      <c r="E66" s="36"/>
    </row>
    <row r="67" spans="1:6">
      <c r="A67" s="36"/>
      <c r="B67" s="36"/>
      <c r="C67" s="36"/>
      <c r="D67" s="36"/>
      <c r="E67" s="36"/>
    </row>
    <row r="68" spans="1:6" ht="18.75">
      <c r="A68" s="33"/>
      <c r="B68" s="37" t="s">
        <v>144</v>
      </c>
      <c r="C68" s="30" t="s">
        <v>31</v>
      </c>
      <c r="D68" s="30" t="s">
        <v>31</v>
      </c>
      <c r="E68" s="33"/>
    </row>
    <row r="69" spans="1:6" ht="18.75">
      <c r="A69" s="34"/>
    </row>
    <row r="70" spans="1:6" ht="18.75">
      <c r="A70" s="188" t="s">
        <v>238</v>
      </c>
      <c r="B70" s="188"/>
      <c r="C70" s="188"/>
      <c r="D70" s="188"/>
      <c r="E70" s="188"/>
      <c r="F70" s="188"/>
    </row>
    <row r="71" spans="1:6" ht="18.75">
      <c r="A71" s="3"/>
    </row>
    <row r="72" spans="1:6" ht="31.5">
      <c r="A72" s="30">
        <v>198</v>
      </c>
      <c r="B72" s="30" t="s">
        <v>155</v>
      </c>
      <c r="C72" s="30" t="s">
        <v>141</v>
      </c>
      <c r="D72" s="30" t="s">
        <v>237</v>
      </c>
      <c r="E72" s="30" t="s">
        <v>224</v>
      </c>
      <c r="F72" s="92"/>
    </row>
    <row r="73" spans="1:6" ht="15.75">
      <c r="A73" s="30">
        <v>1</v>
      </c>
      <c r="B73" s="30">
        <v>2</v>
      </c>
      <c r="C73" s="30">
        <v>3</v>
      </c>
      <c r="D73" s="30">
        <v>4</v>
      </c>
      <c r="E73" s="30">
        <v>5</v>
      </c>
      <c r="F73" s="92"/>
    </row>
    <row r="74" spans="1:6" ht="15.75">
      <c r="A74" s="30">
        <v>1</v>
      </c>
      <c r="B74" s="30" t="s">
        <v>321</v>
      </c>
      <c r="C74" s="30">
        <f>E74/D74</f>
        <v>955</v>
      </c>
      <c r="D74" s="30">
        <v>1500</v>
      </c>
      <c r="E74" s="30">
        <v>1432500</v>
      </c>
      <c r="F74" s="92"/>
    </row>
    <row r="75" spans="1:6" ht="15.75">
      <c r="A75" s="30"/>
      <c r="B75" s="30"/>
      <c r="C75" s="30"/>
      <c r="D75" s="30"/>
      <c r="E75" s="30"/>
      <c r="F75" s="92"/>
    </row>
    <row r="76" spans="1:6" ht="15.75">
      <c r="A76" s="30"/>
      <c r="B76" s="37" t="s">
        <v>144</v>
      </c>
      <c r="C76" s="30" t="s">
        <v>31</v>
      </c>
      <c r="D76" s="30" t="s">
        <v>31</v>
      </c>
      <c r="E76" s="30">
        <f>E74</f>
        <v>1432500</v>
      </c>
      <c r="F76" s="92"/>
    </row>
    <row r="77" spans="1:6" ht="18.75">
      <c r="A77" s="52"/>
      <c r="B77" s="53"/>
      <c r="C77" s="54"/>
      <c r="D77" s="54"/>
      <c r="E77" s="52"/>
    </row>
    <row r="78" spans="1:6" ht="15.75" hidden="1">
      <c r="A78" s="49" t="s">
        <v>240</v>
      </c>
      <c r="B78" s="50" t="s">
        <v>241</v>
      </c>
      <c r="C78" s="51" t="s">
        <v>242</v>
      </c>
    </row>
    <row r="79" spans="1:6" ht="15.75" hidden="1">
      <c r="A79" s="49"/>
      <c r="B79" s="51" t="s">
        <v>243</v>
      </c>
      <c r="C79" s="51" t="s">
        <v>244</v>
      </c>
    </row>
    <row r="80" spans="1:6" ht="15.75" hidden="1">
      <c r="A80" s="49"/>
      <c r="B80" s="49"/>
      <c r="C80" s="49"/>
    </row>
    <row r="81" spans="1:3" ht="15.75" hidden="1">
      <c r="A81" s="51" t="s">
        <v>245</v>
      </c>
      <c r="B81" s="49"/>
      <c r="C81" s="49"/>
    </row>
    <row r="82" spans="1:3" ht="15.75" hidden="1">
      <c r="A82" s="49"/>
      <c r="B82" s="49"/>
      <c r="C82" s="49"/>
    </row>
    <row r="83" spans="1:3" ht="15.75" hidden="1">
      <c r="A83" s="49" t="s">
        <v>246</v>
      </c>
      <c r="B83" s="50" t="s">
        <v>241</v>
      </c>
      <c r="C83" s="50" t="s">
        <v>247</v>
      </c>
    </row>
    <row r="84" spans="1:3" ht="15.75" hidden="1">
      <c r="A84" s="49"/>
      <c r="B84" s="51" t="s">
        <v>243</v>
      </c>
      <c r="C84" s="51" t="s">
        <v>244</v>
      </c>
    </row>
    <row r="85" spans="1:3" ht="15.75" hidden="1">
      <c r="A85" s="49"/>
      <c r="B85" s="49"/>
      <c r="C85" s="49"/>
    </row>
    <row r="86" spans="1:3" ht="15.75" hidden="1">
      <c r="A86" s="51" t="s">
        <v>245</v>
      </c>
      <c r="B86" s="49"/>
      <c r="C86" s="49"/>
    </row>
    <row r="87" spans="1:3" ht="15.75" hidden="1">
      <c r="A87" s="49"/>
      <c r="B87" s="49"/>
      <c r="C87" s="49"/>
    </row>
    <row r="88" spans="1:3" ht="15.75" hidden="1">
      <c r="A88" s="49" t="s">
        <v>248</v>
      </c>
      <c r="B88" s="50" t="s">
        <v>241</v>
      </c>
      <c r="C88" s="51" t="s">
        <v>251</v>
      </c>
    </row>
    <row r="89" spans="1:3" ht="15.75" hidden="1">
      <c r="A89" s="49"/>
      <c r="B89" s="51" t="s">
        <v>243</v>
      </c>
      <c r="C89" s="51" t="s">
        <v>244</v>
      </c>
    </row>
    <row r="90" spans="1:3" ht="15.75" hidden="1">
      <c r="A90" s="49"/>
      <c r="B90" s="49"/>
      <c r="C90" s="50" t="s">
        <v>249</v>
      </c>
    </row>
    <row r="91" spans="1:3" ht="15.75" hidden="1">
      <c r="A91" s="49"/>
      <c r="B91" s="49"/>
      <c r="C91" s="51" t="s">
        <v>250</v>
      </c>
    </row>
    <row r="92" spans="1:3" hidden="1"/>
    <row r="93" spans="1:3" hidden="1"/>
    <row r="94" spans="1:3" hidden="1"/>
    <row r="95" spans="1:3" hidden="1"/>
    <row r="96" spans="1:3" hidden="1"/>
    <row r="97" hidden="1"/>
  </sheetData>
  <mergeCells count="14">
    <mergeCell ref="A1:F1"/>
    <mergeCell ref="A9:F9"/>
    <mergeCell ref="A17:F17"/>
    <mergeCell ref="A52:F52"/>
    <mergeCell ref="A54:F54"/>
    <mergeCell ref="A62:F62"/>
    <mergeCell ref="A70:F70"/>
    <mergeCell ref="A26:A27"/>
    <mergeCell ref="D26:D27"/>
    <mergeCell ref="A35:F35"/>
    <mergeCell ref="A44:A45"/>
    <mergeCell ref="D44:D45"/>
    <mergeCell ref="A55:F55"/>
    <mergeCell ref="A56:F56"/>
  </mergeCells>
  <hyperlinks>
    <hyperlink ref="B30" location="Par1250" tooltip="    &lt;*&gt;   Указываются   страховые  тарифы,  дифференцированные  по  классам" display="Par1250"/>
    <hyperlink ref="B31" location="Par1250" tooltip="    &lt;*&gt;   Указываются   страховые  тарифы,  дифференцированные  по  классам" display="Par1250"/>
    <hyperlink ref="B48" location="Par1250" tooltip="    &lt;*&gt;   Указываются   страховые  тарифы,  дифференцированные  по  классам" display="Par1250"/>
    <hyperlink ref="B49" location="Par1250" tooltip="    &lt;*&gt;   Указываются   страховые  тарифы,  дифференцированные  по  классам" display="Par1250"/>
  </hyperlinks>
  <pageMargins left="0" right="0" top="0" bottom="0" header="0" footer="0"/>
  <pageSetup paperSize="9" scale="60" orientation="landscape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topLeftCell="A7" zoomScale="60" workbookViewId="0">
      <selection sqref="A1:XFD6"/>
    </sheetView>
  </sheetViews>
  <sheetFormatPr defaultRowHeight="15"/>
  <sheetData>
    <row r="1" spans="1:22" ht="18.75" hidden="1">
      <c r="A1" s="1"/>
      <c r="B1" s="2"/>
      <c r="C1" s="2"/>
      <c r="D1" s="2"/>
      <c r="E1" s="2"/>
      <c r="F1" s="2"/>
      <c r="G1" s="2"/>
      <c r="H1" s="2"/>
      <c r="I1" s="2"/>
      <c r="J1" s="2"/>
      <c r="K1" s="1" t="s">
        <v>0</v>
      </c>
      <c r="L1" s="2"/>
      <c r="M1" s="1" t="s">
        <v>0</v>
      </c>
      <c r="N1" s="2"/>
      <c r="O1" s="187" t="s">
        <v>20</v>
      </c>
      <c r="P1" s="187"/>
      <c r="Q1" s="187"/>
      <c r="R1" s="187"/>
      <c r="S1" s="187"/>
      <c r="T1" s="187"/>
    </row>
    <row r="2" spans="1:22" ht="18.75" hidden="1">
      <c r="A2" s="1"/>
      <c r="B2" s="2"/>
      <c r="C2" s="2"/>
      <c r="D2" s="2"/>
      <c r="E2" s="2"/>
      <c r="F2" s="2"/>
      <c r="G2" s="2"/>
      <c r="H2" s="2"/>
      <c r="I2" s="2"/>
      <c r="J2" s="2"/>
      <c r="K2" s="1" t="s">
        <v>1</v>
      </c>
      <c r="L2" s="2"/>
      <c r="M2" s="1" t="s">
        <v>1</v>
      </c>
      <c r="N2" s="2"/>
      <c r="O2" s="187" t="s">
        <v>21</v>
      </c>
      <c r="P2" s="187"/>
      <c r="Q2" s="187"/>
      <c r="R2" s="187"/>
      <c r="S2" s="187"/>
      <c r="T2" s="187"/>
    </row>
    <row r="3" spans="1:22" ht="18.75" hidden="1">
      <c r="A3" s="1"/>
      <c r="B3" s="2"/>
      <c r="C3" s="2"/>
      <c r="D3" s="2"/>
      <c r="E3" s="2"/>
      <c r="F3" s="2"/>
      <c r="G3" s="2"/>
      <c r="H3" s="2"/>
      <c r="I3" s="2"/>
      <c r="J3" s="2"/>
      <c r="K3" s="1" t="s">
        <v>2</v>
      </c>
      <c r="L3" s="2"/>
      <c r="M3" s="1" t="s">
        <v>2</v>
      </c>
      <c r="N3" s="2"/>
      <c r="O3" s="187" t="s">
        <v>22</v>
      </c>
      <c r="P3" s="187"/>
      <c r="Q3" s="187"/>
      <c r="R3" s="187"/>
      <c r="S3" s="187"/>
      <c r="T3" s="187"/>
    </row>
    <row r="4" spans="1:22" ht="36" hidden="1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 t="s">
        <v>3</v>
      </c>
      <c r="L4" s="2"/>
      <c r="M4" s="1" t="s">
        <v>3</v>
      </c>
      <c r="N4" s="2"/>
      <c r="O4" s="187" t="s">
        <v>23</v>
      </c>
      <c r="P4" s="187"/>
      <c r="Q4" s="187"/>
      <c r="R4" s="187"/>
      <c r="S4" s="187"/>
      <c r="T4" s="187"/>
    </row>
    <row r="5" spans="1:22" ht="18.75" hidden="1">
      <c r="A5" s="1"/>
      <c r="B5" s="2"/>
      <c r="C5" s="2"/>
      <c r="D5" s="2"/>
      <c r="E5" s="2"/>
      <c r="F5" s="2"/>
      <c r="G5" s="2"/>
      <c r="H5" s="2"/>
      <c r="I5" s="2"/>
      <c r="J5" s="2"/>
      <c r="K5" s="1" t="s">
        <v>4</v>
      </c>
      <c r="L5" s="2"/>
      <c r="M5" s="1" t="s">
        <v>4</v>
      </c>
      <c r="N5" s="2"/>
      <c r="O5" s="187" t="s">
        <v>24</v>
      </c>
      <c r="P5" s="187"/>
      <c r="Q5" s="187"/>
      <c r="R5" s="187"/>
      <c r="S5" s="187"/>
      <c r="T5" s="187"/>
    </row>
    <row r="6" spans="1:22" ht="18.75" hidden="1">
      <c r="A6" s="1"/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2"/>
      <c r="M6" s="1" t="s">
        <v>5</v>
      </c>
      <c r="N6" s="2"/>
      <c r="O6" s="188"/>
      <c r="P6" s="188"/>
      <c r="Q6" s="188"/>
      <c r="R6" s="188"/>
      <c r="S6" s="188"/>
      <c r="T6" s="188"/>
    </row>
    <row r="7" spans="1:22" ht="18.7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7"/>
      <c r="O7" s="7"/>
      <c r="P7" s="7"/>
      <c r="Q7" s="7"/>
      <c r="R7" s="7"/>
      <c r="S7" s="2"/>
      <c r="T7" s="2"/>
    </row>
    <row r="8" spans="1:22" ht="18.7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7"/>
      <c r="N8" s="7"/>
      <c r="O8" s="198" t="s">
        <v>6</v>
      </c>
      <c r="P8" s="198"/>
      <c r="Q8" s="198"/>
      <c r="R8" s="198"/>
      <c r="S8" s="198"/>
      <c r="T8" s="198"/>
      <c r="U8" s="198"/>
      <c r="V8" s="198"/>
    </row>
    <row r="9" spans="1:22" ht="61.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99" t="s">
        <v>252</v>
      </c>
      <c r="P9" s="199"/>
      <c r="Q9" s="199"/>
      <c r="R9" s="199"/>
      <c r="S9" s="199"/>
      <c r="T9" s="199"/>
      <c r="U9" s="199"/>
      <c r="V9" s="199"/>
    </row>
    <row r="10" spans="1:22" ht="29.25" customHeight="1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90" t="s">
        <v>16</v>
      </c>
      <c r="P10" s="190"/>
      <c r="Q10" s="190"/>
      <c r="R10" s="190"/>
      <c r="S10" s="190"/>
      <c r="T10" s="190"/>
      <c r="U10" s="190"/>
      <c r="V10" s="190"/>
    </row>
    <row r="11" spans="1:22" ht="18.7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00" t="s">
        <v>253</v>
      </c>
      <c r="P11" s="200"/>
      <c r="Q11" s="200"/>
      <c r="R11" s="200"/>
      <c r="S11" s="200"/>
      <c r="T11" s="200"/>
    </row>
    <row r="12" spans="1:22" ht="18.75">
      <c r="A12" s="8" t="s">
        <v>7</v>
      </c>
      <c r="B12" s="2"/>
      <c r="C12" s="2"/>
      <c r="D12" s="2"/>
      <c r="E12" s="2"/>
      <c r="F12" s="2"/>
      <c r="G12" s="2"/>
      <c r="H12" s="2"/>
      <c r="I12" s="2"/>
      <c r="J12" s="2"/>
      <c r="K12" s="8"/>
      <c r="L12" s="2"/>
      <c r="M12" s="8"/>
      <c r="N12" s="2"/>
      <c r="O12" s="188" t="s">
        <v>254</v>
      </c>
      <c r="P12" s="188"/>
      <c r="Q12" s="188"/>
      <c r="R12" s="188"/>
      <c r="S12" s="188"/>
      <c r="T12" s="188"/>
    </row>
    <row r="13" spans="1:22" ht="18.7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ht="18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88" t="s">
        <v>8</v>
      </c>
      <c r="P14" s="188"/>
      <c r="Q14" s="188"/>
      <c r="R14" s="188"/>
      <c r="S14" s="188"/>
      <c r="T14" s="188"/>
    </row>
    <row r="15" spans="1:22" ht="18.75" customHeight="1">
      <c r="A15" s="3"/>
      <c r="B15" s="2"/>
      <c r="C15" s="2"/>
      <c r="D15" s="2"/>
      <c r="E15" s="2"/>
      <c r="F15" s="190" t="s">
        <v>255</v>
      </c>
      <c r="G15" s="190"/>
      <c r="H15" s="190"/>
      <c r="I15" s="190"/>
      <c r="J15" s="190"/>
      <c r="K15" s="190"/>
      <c r="L15" s="190"/>
      <c r="M15" s="190"/>
      <c r="N15" s="190"/>
      <c r="O15" s="2"/>
      <c r="P15" s="2"/>
      <c r="Q15" s="2"/>
      <c r="R15" s="2"/>
      <c r="S15" s="2"/>
      <c r="T15" s="2"/>
    </row>
    <row r="16" spans="1:22" ht="18.75">
      <c r="A16" s="10"/>
      <c r="B16" s="2"/>
      <c r="C16" s="2"/>
      <c r="D16" s="2"/>
      <c r="E16" s="2"/>
      <c r="F16" s="190"/>
      <c r="G16" s="190"/>
      <c r="H16" s="190"/>
      <c r="I16" s="190"/>
      <c r="J16" s="190"/>
      <c r="K16" s="190"/>
      <c r="L16" s="190"/>
      <c r="M16" s="190"/>
      <c r="N16" s="190"/>
      <c r="O16" s="2"/>
      <c r="P16" s="2"/>
      <c r="Q16" s="2"/>
      <c r="R16" s="2"/>
      <c r="S16" s="2"/>
      <c r="T16" s="2"/>
    </row>
    <row r="17" spans="1:22" ht="18.75">
      <c r="A17" s="2"/>
      <c r="B17" s="2"/>
      <c r="C17" s="2"/>
      <c r="D17" s="2"/>
      <c r="E17" s="2"/>
      <c r="F17" s="190"/>
      <c r="G17" s="190"/>
      <c r="H17" s="190"/>
      <c r="I17" s="190"/>
      <c r="J17" s="190"/>
      <c r="K17" s="190"/>
      <c r="L17" s="190"/>
      <c r="M17" s="190"/>
      <c r="N17" s="190"/>
      <c r="O17" s="2"/>
      <c r="P17" s="2"/>
      <c r="Q17" s="2"/>
      <c r="R17" s="2"/>
      <c r="S17" s="2"/>
      <c r="T17" s="2"/>
    </row>
    <row r="18" spans="1:22" ht="18.75">
      <c r="A18" s="2" t="s">
        <v>10</v>
      </c>
      <c r="B18" s="2"/>
      <c r="C18" s="2"/>
      <c r="D18" s="2"/>
      <c r="E18" s="2"/>
      <c r="F18" s="188" t="s">
        <v>256</v>
      </c>
      <c r="G18" s="188"/>
      <c r="H18" s="188"/>
      <c r="I18" s="188"/>
      <c r="J18" s="188"/>
      <c r="K18" s="188"/>
      <c r="L18" s="188"/>
      <c r="M18" s="188"/>
      <c r="N18" s="188"/>
      <c r="O18" s="2"/>
      <c r="P18" s="2"/>
      <c r="Q18" s="2"/>
      <c r="R18" s="2"/>
      <c r="S18" s="2"/>
      <c r="T18" s="2"/>
    </row>
    <row r="19" spans="1:22" ht="18.7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95" t="s">
        <v>9</v>
      </c>
      <c r="T19" s="195"/>
      <c r="U19" s="195"/>
      <c r="V19" s="195"/>
    </row>
    <row r="20" spans="1:22" ht="18.7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87" t="s">
        <v>18</v>
      </c>
      <c r="R20" s="196"/>
      <c r="S20" s="186"/>
      <c r="T20" s="186"/>
      <c r="U20" s="186"/>
      <c r="V20" s="186"/>
    </row>
    <row r="21" spans="1:22" ht="36" customHeight="1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87"/>
      <c r="R21" s="196"/>
      <c r="S21" s="186"/>
      <c r="T21" s="186"/>
      <c r="U21" s="186"/>
      <c r="V21" s="186"/>
    </row>
    <row r="22" spans="1:22" ht="18.7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92" t="s">
        <v>19</v>
      </c>
      <c r="R22" s="193"/>
      <c r="S22" s="186"/>
      <c r="T22" s="186"/>
      <c r="U22" s="186"/>
      <c r="V22" s="186"/>
    </row>
    <row r="23" spans="1:22" ht="36.75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92"/>
      <c r="R23" s="193"/>
      <c r="S23" s="186"/>
      <c r="T23" s="186"/>
      <c r="U23" s="186"/>
      <c r="V23" s="186"/>
    </row>
    <row r="24" spans="1:22" ht="18.7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 t="s">
        <v>11</v>
      </c>
      <c r="R24" s="2"/>
      <c r="S24" s="194" t="s">
        <v>344</v>
      </c>
      <c r="T24" s="194"/>
      <c r="U24" s="194"/>
      <c r="V24" s="194"/>
    </row>
    <row r="25" spans="1:22" ht="18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 t="s">
        <v>12</v>
      </c>
      <c r="R25" s="2"/>
      <c r="S25" s="194" t="s">
        <v>345</v>
      </c>
      <c r="T25" s="194"/>
      <c r="U25" s="194"/>
      <c r="V25" s="194"/>
    </row>
    <row r="26" spans="1:22" ht="18.75">
      <c r="A26" s="2"/>
      <c r="B26" s="2"/>
      <c r="C26" s="2"/>
      <c r="D26" s="2"/>
      <c r="E26" s="2"/>
      <c r="F26" s="2"/>
      <c r="G26" s="2"/>
      <c r="H26" s="11"/>
      <c r="I26" s="2"/>
      <c r="J26" s="2"/>
      <c r="K26" s="2"/>
      <c r="L26" s="2"/>
      <c r="M26" s="2"/>
      <c r="N26" s="2"/>
      <c r="O26" s="2"/>
      <c r="P26" s="2"/>
      <c r="Q26" s="2" t="s">
        <v>13</v>
      </c>
      <c r="R26" s="2"/>
      <c r="S26" s="186" t="s">
        <v>14</v>
      </c>
      <c r="T26" s="186"/>
      <c r="U26" s="186"/>
      <c r="V26" s="186"/>
    </row>
    <row r="27" spans="1:22" ht="18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2" ht="18.75">
      <c r="A28" s="2"/>
      <c r="B28" s="2"/>
      <c r="C28" s="2"/>
      <c r="D28" s="2"/>
      <c r="E28" s="2"/>
      <c r="F28" s="189" t="s">
        <v>25</v>
      </c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2" ht="18.75">
      <c r="A29" s="2" t="s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2" ht="18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2" ht="39.75" customHeight="1">
      <c r="A31" s="2"/>
      <c r="B31" s="2"/>
      <c r="C31" s="2"/>
      <c r="D31" s="190" t="s">
        <v>258</v>
      </c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</row>
    <row r="32" spans="1:22" ht="18.75">
      <c r="A32" s="2" t="s">
        <v>257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2" ht="18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2" ht="18.75" customHeight="1">
      <c r="A34" s="187" t="s">
        <v>259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</row>
    <row r="35" spans="1:22" ht="18.75" customHeigh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</row>
    <row r="36" spans="1:22" ht="18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2" ht="18.75">
      <c r="A37" s="2" t="s">
        <v>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9" spans="1:22" ht="15.75">
      <c r="A39" s="6"/>
    </row>
  </sheetData>
  <mergeCells count="27">
    <mergeCell ref="A34:V35"/>
    <mergeCell ref="O2:T2"/>
    <mergeCell ref="O1:T1"/>
    <mergeCell ref="O3:T3"/>
    <mergeCell ref="O8:V8"/>
    <mergeCell ref="O9:V9"/>
    <mergeCell ref="Q22:R23"/>
    <mergeCell ref="S20:V20"/>
    <mergeCell ref="O11:T11"/>
    <mergeCell ref="O12:T12"/>
    <mergeCell ref="O10:V10"/>
    <mergeCell ref="O4:T4"/>
    <mergeCell ref="O5:T5"/>
    <mergeCell ref="O6:T6"/>
    <mergeCell ref="F28:T28"/>
    <mergeCell ref="D31:T31"/>
    <mergeCell ref="S26:V26"/>
    <mergeCell ref="S25:V25"/>
    <mergeCell ref="S24:V24"/>
    <mergeCell ref="S23:V23"/>
    <mergeCell ref="S22:V22"/>
    <mergeCell ref="O14:T14"/>
    <mergeCell ref="F15:N17"/>
    <mergeCell ref="F18:N18"/>
    <mergeCell ref="Q20:R21"/>
    <mergeCell ref="S19:V19"/>
    <mergeCell ref="S21:V21"/>
  </mergeCells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80"/>
  <sheetViews>
    <sheetView view="pageBreakPreview" zoomScale="60" zoomScaleNormal="70" workbookViewId="0">
      <selection activeCell="A43" sqref="A43:A47"/>
    </sheetView>
  </sheetViews>
  <sheetFormatPr defaultColWidth="9.140625" defaultRowHeight="15"/>
  <cols>
    <col min="1" max="1" width="82" style="136" customWidth="1"/>
    <col min="2" max="2" width="9.140625" style="125"/>
    <col min="3" max="3" width="17.85546875" style="125" customWidth="1"/>
    <col min="4" max="4" width="13.85546875" style="125" customWidth="1"/>
    <col min="5" max="5" width="24.5703125" style="125" customWidth="1"/>
    <col min="6" max="6" width="22.140625" style="125" customWidth="1"/>
    <col min="7" max="7" width="23.85546875" style="125" customWidth="1"/>
    <col min="8" max="8" width="17.85546875" style="125" customWidth="1"/>
    <col min="9" max="10" width="9.140625" style="125"/>
    <col min="11" max="12" width="15.85546875" style="125" bestFit="1" customWidth="1"/>
    <col min="13" max="16384" width="9.140625" style="125"/>
  </cols>
  <sheetData>
    <row r="1" spans="1:8" ht="18.75">
      <c r="A1" s="207" t="s">
        <v>26</v>
      </c>
      <c r="B1" s="207"/>
      <c r="C1" s="207"/>
      <c r="D1" s="207"/>
      <c r="E1" s="207"/>
      <c r="F1" s="207"/>
      <c r="G1" s="207"/>
      <c r="H1" s="207"/>
    </row>
    <row r="2" spans="1:8" ht="18.75">
      <c r="A2" s="211" t="s">
        <v>359</v>
      </c>
      <c r="B2" s="211"/>
      <c r="C2" s="211"/>
      <c r="D2" s="211"/>
      <c r="E2" s="211"/>
      <c r="F2" s="211"/>
      <c r="G2" s="211"/>
      <c r="H2" s="127"/>
    </row>
    <row r="3" spans="1:8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52" t="s">
        <v>369</v>
      </c>
      <c r="F4" s="114" t="s">
        <v>346</v>
      </c>
      <c r="G4" s="114" t="s">
        <v>347</v>
      </c>
      <c r="H4" s="114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324</v>
      </c>
      <c r="B6" s="114">
        <v>1</v>
      </c>
      <c r="C6" s="114" t="s">
        <v>31</v>
      </c>
      <c r="D6" s="114" t="s">
        <v>31</v>
      </c>
      <c r="E6" s="114"/>
      <c r="F6" s="114"/>
      <c r="G6" s="114"/>
      <c r="H6" s="114"/>
    </row>
    <row r="7" spans="1:8" ht="15.75">
      <c r="A7" s="132" t="s">
        <v>325</v>
      </c>
      <c r="B7" s="114">
        <v>2</v>
      </c>
      <c r="C7" s="114" t="s">
        <v>31</v>
      </c>
      <c r="D7" s="114" t="s">
        <v>31</v>
      </c>
      <c r="E7" s="114"/>
      <c r="F7" s="114"/>
      <c r="G7" s="114"/>
      <c r="H7" s="114"/>
    </row>
    <row r="8" spans="1:8" ht="15.75">
      <c r="A8" s="113" t="s">
        <v>32</v>
      </c>
      <c r="B8" s="114">
        <v>1000</v>
      </c>
      <c r="C8" s="114"/>
      <c r="D8" s="114"/>
      <c r="E8" s="177">
        <f>E12</f>
        <v>33112857.600000005</v>
      </c>
      <c r="F8" s="177">
        <f t="shared" ref="F8:G8" si="0">F12</f>
        <v>31188200</v>
      </c>
      <c r="G8" s="177">
        <f t="shared" si="0"/>
        <v>31188200</v>
      </c>
      <c r="H8" s="114"/>
    </row>
    <row r="9" spans="1:8" ht="15.75">
      <c r="A9" s="113" t="s">
        <v>33</v>
      </c>
      <c r="B9" s="201">
        <v>1100</v>
      </c>
      <c r="C9" s="201">
        <v>120</v>
      </c>
      <c r="D9" s="201"/>
      <c r="E9" s="210"/>
      <c r="F9" s="210"/>
      <c r="G9" s="210"/>
      <c r="H9" s="201"/>
    </row>
    <row r="10" spans="1:8" ht="15.75">
      <c r="A10" s="113" t="s">
        <v>34</v>
      </c>
      <c r="B10" s="201"/>
      <c r="C10" s="201"/>
      <c r="D10" s="201"/>
      <c r="E10" s="210"/>
      <c r="F10" s="210"/>
      <c r="G10" s="210"/>
      <c r="H10" s="201"/>
    </row>
    <row r="11" spans="1:8" ht="15.75">
      <c r="A11" s="113" t="s">
        <v>35</v>
      </c>
      <c r="B11" s="114">
        <v>1110</v>
      </c>
      <c r="C11" s="114"/>
      <c r="D11" s="114"/>
      <c r="E11" s="115"/>
      <c r="F11" s="115"/>
      <c r="G11" s="115"/>
      <c r="H11" s="114"/>
    </row>
    <row r="12" spans="1:8" ht="15.75">
      <c r="A12" s="113" t="s">
        <v>36</v>
      </c>
      <c r="B12" s="114">
        <v>1200</v>
      </c>
      <c r="C12" s="114">
        <v>130</v>
      </c>
      <c r="D12" s="114"/>
      <c r="E12" s="115">
        <f>E13</f>
        <v>33112857.600000005</v>
      </c>
      <c r="F12" s="115">
        <f t="shared" ref="F12:G12" si="1">F13</f>
        <v>31188200</v>
      </c>
      <c r="G12" s="115">
        <f t="shared" si="1"/>
        <v>31188200</v>
      </c>
      <c r="H12" s="114"/>
    </row>
    <row r="13" spans="1:8" ht="15.75">
      <c r="A13" s="113" t="s">
        <v>33</v>
      </c>
      <c r="B13" s="201">
        <v>1210</v>
      </c>
      <c r="C13" s="201">
        <v>130</v>
      </c>
      <c r="D13" s="201"/>
      <c r="E13" s="210">
        <f>E32</f>
        <v>33112857.600000005</v>
      </c>
      <c r="F13" s="210">
        <f t="shared" ref="F13:G13" si="2">F32</f>
        <v>31188200</v>
      </c>
      <c r="G13" s="210">
        <f t="shared" si="2"/>
        <v>31188200</v>
      </c>
      <c r="H13" s="201"/>
    </row>
    <row r="14" spans="1:8" ht="15.75">
      <c r="A14" s="113" t="s">
        <v>37</v>
      </c>
      <c r="B14" s="201"/>
      <c r="C14" s="201"/>
      <c r="D14" s="201"/>
      <c r="E14" s="210"/>
      <c r="F14" s="210"/>
      <c r="G14" s="210"/>
      <c r="H14" s="201"/>
    </row>
    <row r="15" spans="1:8" ht="31.5">
      <c r="A15" s="113" t="s">
        <v>38</v>
      </c>
      <c r="B15" s="114">
        <v>1230</v>
      </c>
      <c r="C15" s="114"/>
      <c r="D15" s="114"/>
      <c r="E15" s="114"/>
      <c r="F15" s="114"/>
      <c r="G15" s="114"/>
      <c r="H15" s="114"/>
    </row>
    <row r="16" spans="1:8" ht="31.5">
      <c r="A16" s="113" t="s">
        <v>39</v>
      </c>
      <c r="B16" s="114">
        <v>1240</v>
      </c>
      <c r="C16" s="114"/>
      <c r="D16" s="114"/>
      <c r="E16" s="114"/>
      <c r="F16" s="114"/>
      <c r="G16" s="114"/>
      <c r="H16" s="114"/>
    </row>
    <row r="17" spans="1:8" ht="15.75">
      <c r="A17" s="113"/>
      <c r="B17" s="114"/>
      <c r="C17" s="114"/>
      <c r="D17" s="114"/>
      <c r="E17" s="114"/>
      <c r="F17" s="114"/>
      <c r="G17" s="114"/>
      <c r="H17" s="114"/>
    </row>
    <row r="18" spans="1:8" ht="15.75">
      <c r="A18" s="113" t="s">
        <v>40</v>
      </c>
      <c r="B18" s="114">
        <v>1300</v>
      </c>
      <c r="C18" s="114">
        <v>140</v>
      </c>
      <c r="D18" s="114"/>
      <c r="E18" s="114"/>
      <c r="F18" s="114"/>
      <c r="G18" s="114"/>
      <c r="H18" s="114"/>
    </row>
    <row r="19" spans="1:8" ht="15.75">
      <c r="A19" s="113" t="s">
        <v>33</v>
      </c>
      <c r="B19" s="114">
        <v>1310</v>
      </c>
      <c r="C19" s="114">
        <v>140</v>
      </c>
      <c r="D19" s="114"/>
      <c r="E19" s="114"/>
      <c r="F19" s="114"/>
      <c r="G19" s="114"/>
      <c r="H19" s="114"/>
    </row>
    <row r="20" spans="1:8" ht="15.75">
      <c r="A20" s="113" t="s">
        <v>41</v>
      </c>
      <c r="B20" s="114">
        <v>1400</v>
      </c>
      <c r="C20" s="114">
        <v>150</v>
      </c>
      <c r="D20" s="114"/>
      <c r="E20" s="114"/>
      <c r="F20" s="114"/>
      <c r="G20" s="114"/>
      <c r="H20" s="114"/>
    </row>
    <row r="21" spans="1:8" ht="15.75">
      <c r="A21" s="113" t="s">
        <v>33</v>
      </c>
      <c r="B21" s="114"/>
      <c r="C21" s="114"/>
      <c r="D21" s="114"/>
      <c r="E21" s="114"/>
      <c r="F21" s="114"/>
      <c r="G21" s="114"/>
      <c r="H21" s="114"/>
    </row>
    <row r="22" spans="1:8" ht="15.75">
      <c r="A22" s="113" t="s">
        <v>42</v>
      </c>
      <c r="B22" s="114">
        <v>1500</v>
      </c>
      <c r="C22" s="114">
        <v>180</v>
      </c>
      <c r="D22" s="114"/>
      <c r="E22" s="114"/>
      <c r="F22" s="114"/>
      <c r="G22" s="114"/>
      <c r="H22" s="114"/>
    </row>
    <row r="23" spans="1:8" ht="15.75">
      <c r="A23" s="113" t="s">
        <v>33</v>
      </c>
      <c r="B23" s="201">
        <v>1510</v>
      </c>
      <c r="C23" s="201">
        <v>180</v>
      </c>
      <c r="D23" s="201"/>
      <c r="E23" s="201"/>
      <c r="F23" s="201"/>
      <c r="G23" s="201"/>
      <c r="H23" s="201"/>
    </row>
    <row r="24" spans="1:8" ht="15.75">
      <c r="A24" s="113" t="s">
        <v>43</v>
      </c>
      <c r="B24" s="201"/>
      <c r="C24" s="201"/>
      <c r="D24" s="201"/>
      <c r="E24" s="201"/>
      <c r="F24" s="201"/>
      <c r="G24" s="201"/>
      <c r="H24" s="201"/>
    </row>
    <row r="25" spans="1:8" ht="15.75">
      <c r="A25" s="113" t="s">
        <v>44</v>
      </c>
      <c r="B25" s="114">
        <v>1520</v>
      </c>
      <c r="C25" s="114">
        <v>180</v>
      </c>
      <c r="D25" s="114"/>
      <c r="E25" s="114"/>
      <c r="F25" s="114"/>
      <c r="G25" s="114"/>
      <c r="H25" s="114"/>
    </row>
    <row r="26" spans="1:8" ht="15.75">
      <c r="A26" s="113" t="s">
        <v>45</v>
      </c>
      <c r="B26" s="114">
        <v>1900</v>
      </c>
      <c r="C26" s="114"/>
      <c r="D26" s="114"/>
      <c r="E26" s="114"/>
      <c r="F26" s="114"/>
      <c r="G26" s="114"/>
      <c r="H26" s="114"/>
    </row>
    <row r="27" spans="1:8" ht="15.75">
      <c r="A27" s="113" t="s">
        <v>33</v>
      </c>
      <c r="B27" s="114"/>
      <c r="C27" s="114"/>
      <c r="D27" s="114"/>
      <c r="E27" s="114"/>
      <c r="F27" s="114"/>
      <c r="G27" s="114"/>
      <c r="H27" s="114"/>
    </row>
    <row r="28" spans="1:8" ht="15.75">
      <c r="A28" s="132" t="s">
        <v>46</v>
      </c>
      <c r="B28" s="114">
        <v>1980</v>
      </c>
      <c r="C28" s="114" t="s">
        <v>31</v>
      </c>
      <c r="D28" s="114"/>
      <c r="E28" s="114"/>
      <c r="F28" s="114"/>
      <c r="G28" s="114"/>
      <c r="H28" s="114"/>
    </row>
    <row r="29" spans="1:8" ht="15.75">
      <c r="A29" s="113" t="s">
        <v>47</v>
      </c>
      <c r="B29" s="201">
        <v>1981</v>
      </c>
      <c r="C29" s="201">
        <v>510</v>
      </c>
      <c r="D29" s="201"/>
      <c r="E29" s="201"/>
      <c r="F29" s="201"/>
      <c r="G29" s="201"/>
      <c r="H29" s="201" t="s">
        <v>31</v>
      </c>
    </row>
    <row r="30" spans="1:8" ht="31.5">
      <c r="A30" s="113" t="s">
        <v>48</v>
      </c>
      <c r="B30" s="201"/>
      <c r="C30" s="201"/>
      <c r="D30" s="201"/>
      <c r="E30" s="201"/>
      <c r="F30" s="201"/>
      <c r="G30" s="201"/>
      <c r="H30" s="201"/>
    </row>
    <row r="31" spans="1:8" ht="15.75">
      <c r="A31" s="113"/>
      <c r="B31" s="114"/>
      <c r="C31" s="114"/>
      <c r="D31" s="114"/>
      <c r="E31" s="114"/>
      <c r="F31" s="114"/>
      <c r="G31" s="114"/>
      <c r="H31" s="114"/>
    </row>
    <row r="32" spans="1:8" ht="15.75">
      <c r="A32" s="113" t="s">
        <v>49</v>
      </c>
      <c r="B32" s="114">
        <v>2000</v>
      </c>
      <c r="C32" s="114" t="s">
        <v>31</v>
      </c>
      <c r="D32" s="114"/>
      <c r="E32" s="177">
        <f>E33+E43+E54+E59+E62+E64</f>
        <v>33112857.600000005</v>
      </c>
      <c r="F32" s="177">
        <f>F33+F43+F54+F59+F62+F64</f>
        <v>31188200</v>
      </c>
      <c r="G32" s="177">
        <f>G33+G43+G54+G59+G62+G64</f>
        <v>31188200</v>
      </c>
      <c r="H32" s="114"/>
    </row>
    <row r="33" spans="1:13" ht="15.75">
      <c r="A33" s="113" t="s">
        <v>33</v>
      </c>
      <c r="B33" s="201">
        <v>2100</v>
      </c>
      <c r="C33" s="201" t="s">
        <v>31</v>
      </c>
      <c r="D33" s="201"/>
      <c r="E33" s="202">
        <f>E35+E37+E38+E39</f>
        <v>31563900.000000004</v>
      </c>
      <c r="F33" s="202">
        <f>F35+F37+F38+F39</f>
        <v>29695700</v>
      </c>
      <c r="G33" s="202">
        <f>G35+G37+G38+G39</f>
        <v>29695700</v>
      </c>
      <c r="H33" s="201" t="s">
        <v>31</v>
      </c>
    </row>
    <row r="34" spans="1:13" ht="15.75">
      <c r="A34" s="113" t="s">
        <v>50</v>
      </c>
      <c r="B34" s="201"/>
      <c r="C34" s="201"/>
      <c r="D34" s="201"/>
      <c r="E34" s="203"/>
      <c r="F34" s="203"/>
      <c r="G34" s="203"/>
      <c r="H34" s="201"/>
    </row>
    <row r="35" spans="1:13" ht="15.75">
      <c r="A35" s="113" t="s">
        <v>33</v>
      </c>
      <c r="B35" s="201">
        <v>2110</v>
      </c>
      <c r="C35" s="201">
        <v>111</v>
      </c>
      <c r="D35" s="201">
        <v>211</v>
      </c>
      <c r="E35" s="202">
        <f>21854405.88+2280467.51</f>
        <v>24134873.390000001</v>
      </c>
      <c r="F35" s="202">
        <f>20147900+2212800</f>
        <v>22360700</v>
      </c>
      <c r="G35" s="202">
        <f>20147900+2212800</f>
        <v>22360700</v>
      </c>
      <c r="H35" s="201" t="s">
        <v>31</v>
      </c>
    </row>
    <row r="36" spans="1:13">
      <c r="A36" s="134" t="s">
        <v>51</v>
      </c>
      <c r="B36" s="201"/>
      <c r="C36" s="201"/>
      <c r="D36" s="201"/>
      <c r="E36" s="203"/>
      <c r="F36" s="203"/>
      <c r="G36" s="203"/>
      <c r="H36" s="201"/>
    </row>
    <row r="37" spans="1:13" ht="30">
      <c r="A37" s="116" t="s">
        <v>355</v>
      </c>
      <c r="B37" s="114">
        <v>2120</v>
      </c>
      <c r="C37" s="114">
        <v>111</v>
      </c>
      <c r="D37" s="114">
        <v>266</v>
      </c>
      <c r="E37" s="115">
        <f>124587.55+20539.21</f>
        <v>145126.76</v>
      </c>
      <c r="F37" s="115">
        <f>402800+44100</f>
        <v>446900</v>
      </c>
      <c r="G37" s="115">
        <f>402800+44100</f>
        <v>446900</v>
      </c>
      <c r="H37" s="114" t="s">
        <v>31</v>
      </c>
      <c r="K37" s="156"/>
      <c r="L37" s="156"/>
      <c r="M37" s="156"/>
    </row>
    <row r="38" spans="1:13" ht="30">
      <c r="A38" s="134" t="s">
        <v>53</v>
      </c>
      <c r="B38" s="114">
        <v>2130</v>
      </c>
      <c r="C38" s="114">
        <v>113</v>
      </c>
      <c r="D38" s="114"/>
      <c r="E38" s="115"/>
      <c r="F38" s="115"/>
      <c r="G38" s="115"/>
      <c r="H38" s="114" t="s">
        <v>31</v>
      </c>
    </row>
    <row r="39" spans="1:13" ht="31.5">
      <c r="A39" s="113" t="s">
        <v>54</v>
      </c>
      <c r="B39" s="114">
        <v>2140</v>
      </c>
      <c r="C39" s="114">
        <v>119</v>
      </c>
      <c r="D39" s="114">
        <v>213</v>
      </c>
      <c r="E39" s="115">
        <f>6596406.57+687493.28</f>
        <v>7283899.8500000006</v>
      </c>
      <c r="F39" s="115">
        <f>6206400+681700</f>
        <v>6888100</v>
      </c>
      <c r="G39" s="115">
        <f>6206400+681700</f>
        <v>6888100</v>
      </c>
      <c r="H39" s="114" t="s">
        <v>31</v>
      </c>
    </row>
    <row r="40" spans="1:13" ht="15.75">
      <c r="A40" s="113" t="s">
        <v>33</v>
      </c>
      <c r="B40" s="201">
        <v>2141</v>
      </c>
      <c r="C40" s="201">
        <v>119</v>
      </c>
      <c r="D40" s="201"/>
      <c r="E40" s="149"/>
      <c r="F40" s="149"/>
      <c r="G40" s="149"/>
      <c r="H40" s="201" t="s">
        <v>31</v>
      </c>
    </row>
    <row r="41" spans="1:13" ht="15.75">
      <c r="A41" s="113" t="s">
        <v>55</v>
      </c>
      <c r="B41" s="201"/>
      <c r="C41" s="201"/>
      <c r="D41" s="201"/>
      <c r="E41" s="149"/>
      <c r="F41" s="149"/>
      <c r="G41" s="149"/>
      <c r="H41" s="201"/>
    </row>
    <row r="42" spans="1:13" ht="15.75">
      <c r="A42" s="113" t="s">
        <v>56</v>
      </c>
      <c r="B42" s="114">
        <v>2142</v>
      </c>
      <c r="C42" s="114">
        <v>119</v>
      </c>
      <c r="D42" s="114"/>
      <c r="E42" s="115"/>
      <c r="F42" s="115"/>
      <c r="G42" s="115"/>
      <c r="H42" s="114" t="s">
        <v>31</v>
      </c>
    </row>
    <row r="43" spans="1:13" ht="30" customHeight="1">
      <c r="A43" s="134" t="s">
        <v>87</v>
      </c>
      <c r="B43" s="114">
        <v>2200</v>
      </c>
      <c r="C43" s="114">
        <v>300</v>
      </c>
      <c r="D43" s="114">
        <v>262</v>
      </c>
      <c r="E43" s="115">
        <f>E44+E51+E52+E53</f>
        <v>125457.60000000001</v>
      </c>
      <c r="F43" s="115">
        <f>F44+F51+F52+F53</f>
        <v>76500</v>
      </c>
      <c r="G43" s="115">
        <f>G44+G51+G52+G53</f>
        <v>76500</v>
      </c>
      <c r="H43" s="114" t="s">
        <v>31</v>
      </c>
    </row>
    <row r="44" spans="1:13" ht="15.75">
      <c r="A44" s="113" t="s">
        <v>33</v>
      </c>
      <c r="B44" s="201">
        <v>2210</v>
      </c>
      <c r="C44" s="201">
        <v>320</v>
      </c>
      <c r="D44" s="201"/>
      <c r="E44" s="202">
        <f>E46+E48</f>
        <v>125457.60000000001</v>
      </c>
      <c r="F44" s="202">
        <f>F46+F48</f>
        <v>76500</v>
      </c>
      <c r="G44" s="202">
        <f>G46+G48</f>
        <v>76500</v>
      </c>
      <c r="H44" s="201" t="s">
        <v>31</v>
      </c>
    </row>
    <row r="45" spans="1:13" ht="31.5">
      <c r="A45" s="113" t="s">
        <v>57</v>
      </c>
      <c r="B45" s="201"/>
      <c r="C45" s="201"/>
      <c r="D45" s="201"/>
      <c r="E45" s="203"/>
      <c r="F45" s="203"/>
      <c r="G45" s="203"/>
      <c r="H45" s="201"/>
    </row>
    <row r="46" spans="1:13" ht="15.75">
      <c r="A46" s="113" t="s">
        <v>47</v>
      </c>
      <c r="B46" s="201">
        <v>2211</v>
      </c>
      <c r="C46" s="201">
        <v>321</v>
      </c>
      <c r="D46" s="201">
        <v>262</v>
      </c>
      <c r="E46" s="202">
        <v>125457.60000000001</v>
      </c>
      <c r="F46" s="202">
        <v>76500</v>
      </c>
      <c r="G46" s="202">
        <v>76500</v>
      </c>
      <c r="H46" s="201" t="s">
        <v>31</v>
      </c>
    </row>
    <row r="47" spans="1:13" ht="31.5">
      <c r="A47" s="113" t="s">
        <v>58</v>
      </c>
      <c r="B47" s="201"/>
      <c r="C47" s="201"/>
      <c r="D47" s="201"/>
      <c r="E47" s="203"/>
      <c r="F47" s="203"/>
      <c r="G47" s="203"/>
      <c r="H47" s="201"/>
    </row>
    <row r="48" spans="1:13" ht="15.75">
      <c r="A48" s="113" t="s">
        <v>59</v>
      </c>
      <c r="B48" s="201">
        <v>2212</v>
      </c>
      <c r="C48" s="201">
        <v>323</v>
      </c>
      <c r="D48" s="201"/>
      <c r="E48" s="202"/>
      <c r="F48" s="202"/>
      <c r="G48" s="202"/>
      <c r="H48" s="201"/>
    </row>
    <row r="49" spans="1:8" ht="15.75">
      <c r="A49" s="113" t="s">
        <v>60</v>
      </c>
      <c r="B49" s="201"/>
      <c r="C49" s="201"/>
      <c r="D49" s="201"/>
      <c r="E49" s="206"/>
      <c r="F49" s="206"/>
      <c r="G49" s="206"/>
      <c r="H49" s="201"/>
    </row>
    <row r="50" spans="1:8" ht="15.75">
      <c r="A50" s="113" t="s">
        <v>61</v>
      </c>
      <c r="B50" s="201"/>
      <c r="C50" s="201"/>
      <c r="D50" s="201"/>
      <c r="E50" s="203"/>
      <c r="F50" s="203"/>
      <c r="G50" s="203"/>
      <c r="H50" s="201"/>
    </row>
    <row r="51" spans="1:8" ht="15.75">
      <c r="A51" s="113" t="s">
        <v>62</v>
      </c>
      <c r="B51" s="114">
        <v>2220</v>
      </c>
      <c r="C51" s="114">
        <v>340</v>
      </c>
      <c r="D51" s="114"/>
      <c r="E51" s="114"/>
      <c r="F51" s="114"/>
      <c r="G51" s="114"/>
      <c r="H51" s="114" t="s">
        <v>31</v>
      </c>
    </row>
    <row r="52" spans="1:8" ht="15.75">
      <c r="A52" s="113" t="s">
        <v>63</v>
      </c>
      <c r="B52" s="114">
        <v>2230</v>
      </c>
      <c r="C52" s="114">
        <v>350</v>
      </c>
      <c r="D52" s="114"/>
      <c r="E52" s="114"/>
      <c r="F52" s="114"/>
      <c r="G52" s="114"/>
      <c r="H52" s="114" t="s">
        <v>31</v>
      </c>
    </row>
    <row r="53" spans="1:8" ht="15.75">
      <c r="A53" s="113" t="s">
        <v>64</v>
      </c>
      <c r="B53" s="114">
        <v>2240</v>
      </c>
      <c r="C53" s="114">
        <v>360</v>
      </c>
      <c r="D53" s="114"/>
      <c r="E53" s="114"/>
      <c r="F53" s="114"/>
      <c r="G53" s="114"/>
      <c r="H53" s="114" t="s">
        <v>31</v>
      </c>
    </row>
    <row r="54" spans="1:8" ht="15.75">
      <c r="A54" s="113" t="s">
        <v>65</v>
      </c>
      <c r="B54" s="114">
        <v>2300</v>
      </c>
      <c r="C54" s="114">
        <v>850</v>
      </c>
      <c r="D54" s="114"/>
      <c r="E54" s="114">
        <f>E55+E57+E58</f>
        <v>0</v>
      </c>
      <c r="F54" s="114">
        <f>F55+F57+F58</f>
        <v>0</v>
      </c>
      <c r="G54" s="114">
        <f>G55+G57+G58</f>
        <v>0</v>
      </c>
      <c r="H54" s="114" t="s">
        <v>31</v>
      </c>
    </row>
    <row r="55" spans="1:8" ht="15.75">
      <c r="A55" s="113" t="s">
        <v>47</v>
      </c>
      <c r="B55" s="201">
        <v>2310</v>
      </c>
      <c r="C55" s="201">
        <v>851</v>
      </c>
      <c r="D55" s="201"/>
      <c r="E55" s="204"/>
      <c r="F55" s="204"/>
      <c r="G55" s="204"/>
      <c r="H55" s="201" t="s">
        <v>31</v>
      </c>
    </row>
    <row r="56" spans="1:8" ht="15.75">
      <c r="A56" s="113" t="s">
        <v>88</v>
      </c>
      <c r="B56" s="201"/>
      <c r="C56" s="201"/>
      <c r="D56" s="201"/>
      <c r="E56" s="205"/>
      <c r="F56" s="205"/>
      <c r="G56" s="205"/>
      <c r="H56" s="201"/>
    </row>
    <row r="57" spans="1:8" ht="15.75">
      <c r="A57" s="134" t="s">
        <v>66</v>
      </c>
      <c r="B57" s="114">
        <v>2320</v>
      </c>
      <c r="C57" s="114">
        <v>852</v>
      </c>
      <c r="D57" s="114"/>
      <c r="E57" s="114"/>
      <c r="F57" s="114"/>
      <c r="G57" s="114"/>
      <c r="H57" s="114" t="s">
        <v>31</v>
      </c>
    </row>
    <row r="58" spans="1:8" ht="15.75">
      <c r="A58" s="134" t="s">
        <v>67</v>
      </c>
      <c r="B58" s="114">
        <v>2330</v>
      </c>
      <c r="C58" s="114">
        <v>853</v>
      </c>
      <c r="D58" s="114"/>
      <c r="E58" s="114"/>
      <c r="F58" s="114"/>
      <c r="G58" s="114"/>
      <c r="H58" s="114" t="s">
        <v>31</v>
      </c>
    </row>
    <row r="59" spans="1:8" ht="15.75">
      <c r="A59" s="113" t="s">
        <v>68</v>
      </c>
      <c r="B59" s="114">
        <v>2400</v>
      </c>
      <c r="C59" s="114" t="s">
        <v>31</v>
      </c>
      <c r="D59" s="114"/>
      <c r="E59" s="114">
        <f>E60</f>
        <v>0</v>
      </c>
      <c r="F59" s="114">
        <f>F60</f>
        <v>0</v>
      </c>
      <c r="G59" s="114">
        <f>G60</f>
        <v>0</v>
      </c>
      <c r="H59" s="114" t="s">
        <v>31</v>
      </c>
    </row>
    <row r="60" spans="1:8" ht="15.75">
      <c r="A60" s="113" t="s">
        <v>47</v>
      </c>
      <c r="B60" s="201">
        <v>2410</v>
      </c>
      <c r="C60" s="201">
        <v>810</v>
      </c>
      <c r="D60" s="201"/>
      <c r="E60" s="204"/>
      <c r="F60" s="204"/>
      <c r="G60" s="204"/>
      <c r="H60" s="201" t="s">
        <v>31</v>
      </c>
    </row>
    <row r="61" spans="1:8" ht="47.25">
      <c r="A61" s="113" t="s">
        <v>69</v>
      </c>
      <c r="B61" s="201"/>
      <c r="C61" s="201"/>
      <c r="D61" s="201"/>
      <c r="E61" s="205"/>
      <c r="F61" s="205"/>
      <c r="G61" s="205"/>
      <c r="H61" s="201"/>
    </row>
    <row r="62" spans="1:8" ht="15.75">
      <c r="A62" s="113" t="s">
        <v>70</v>
      </c>
      <c r="B62" s="114">
        <v>2500</v>
      </c>
      <c r="C62" s="114" t="s">
        <v>31</v>
      </c>
      <c r="D62" s="114"/>
      <c r="E62" s="114">
        <f>E63</f>
        <v>0</v>
      </c>
      <c r="F62" s="114">
        <f>F63</f>
        <v>0</v>
      </c>
      <c r="G62" s="114">
        <f>G63</f>
        <v>0</v>
      </c>
      <c r="H62" s="114" t="s">
        <v>31</v>
      </c>
    </row>
    <row r="63" spans="1:8" ht="31.5">
      <c r="A63" s="113" t="s">
        <v>71</v>
      </c>
      <c r="B63" s="114">
        <v>2520</v>
      </c>
      <c r="C63" s="114">
        <v>831</v>
      </c>
      <c r="D63" s="114"/>
      <c r="E63" s="114"/>
      <c r="F63" s="114"/>
      <c r="G63" s="114"/>
      <c r="H63" s="114" t="s">
        <v>31</v>
      </c>
    </row>
    <row r="64" spans="1:8" ht="15.75">
      <c r="A64" s="132" t="s">
        <v>72</v>
      </c>
      <c r="B64" s="114">
        <v>2600</v>
      </c>
      <c r="C64" s="114" t="s">
        <v>31</v>
      </c>
      <c r="D64" s="114"/>
      <c r="E64" s="115">
        <f>E65+E67+E68+E69</f>
        <v>1423500</v>
      </c>
      <c r="F64" s="160">
        <f t="shared" ref="F64:G64" si="3">F65+F67+F68+F69</f>
        <v>1416000</v>
      </c>
      <c r="G64" s="160">
        <f t="shared" si="3"/>
        <v>1416000</v>
      </c>
      <c r="H64" s="114"/>
    </row>
    <row r="65" spans="1:8" ht="15.75">
      <c r="A65" s="113" t="s">
        <v>33</v>
      </c>
      <c r="B65" s="201">
        <v>2610</v>
      </c>
      <c r="C65" s="201">
        <v>241</v>
      </c>
      <c r="D65" s="201"/>
      <c r="E65" s="202"/>
      <c r="F65" s="202"/>
      <c r="G65" s="202"/>
      <c r="H65" s="201"/>
    </row>
    <row r="66" spans="1:8" ht="15.75">
      <c r="A66" s="113" t="s">
        <v>73</v>
      </c>
      <c r="B66" s="201"/>
      <c r="C66" s="201"/>
      <c r="D66" s="201"/>
      <c r="E66" s="203"/>
      <c r="F66" s="203"/>
      <c r="G66" s="203"/>
      <c r="H66" s="201"/>
    </row>
    <row r="67" spans="1:8" ht="31.5">
      <c r="A67" s="113" t="s">
        <v>74</v>
      </c>
      <c r="B67" s="114">
        <v>2620</v>
      </c>
      <c r="C67" s="114">
        <v>242</v>
      </c>
      <c r="D67" s="114"/>
      <c r="E67" s="115"/>
      <c r="F67" s="115"/>
      <c r="G67" s="115"/>
      <c r="H67" s="114"/>
    </row>
    <row r="68" spans="1:8" ht="31.5">
      <c r="A68" s="113" t="s">
        <v>75</v>
      </c>
      <c r="B68" s="114">
        <v>2630</v>
      </c>
      <c r="C68" s="114">
        <v>243</v>
      </c>
      <c r="D68" s="114"/>
      <c r="E68" s="115"/>
      <c r="F68" s="115"/>
      <c r="G68" s="115"/>
      <c r="H68" s="114"/>
    </row>
    <row r="69" spans="1:8" ht="15.75">
      <c r="A69" s="113" t="s">
        <v>76</v>
      </c>
      <c r="B69" s="114">
        <v>2640</v>
      </c>
      <c r="C69" s="114"/>
      <c r="D69" s="114"/>
      <c r="E69" s="115">
        <f>E71+E72+E73+E74</f>
        <v>1423500</v>
      </c>
      <c r="F69" s="160">
        <f t="shared" ref="F69:G69" si="4">F71+F72+F73+F74</f>
        <v>1416000</v>
      </c>
      <c r="G69" s="160">
        <f t="shared" si="4"/>
        <v>1416000</v>
      </c>
      <c r="H69" s="114"/>
    </row>
    <row r="70" spans="1:8" ht="15.75">
      <c r="A70" s="113" t="s">
        <v>47</v>
      </c>
      <c r="B70" s="114"/>
      <c r="C70" s="114"/>
      <c r="D70" s="114"/>
      <c r="E70" s="138"/>
      <c r="F70" s="138"/>
      <c r="G70" s="138"/>
      <c r="H70" s="114"/>
    </row>
    <row r="71" spans="1:8" ht="15.75">
      <c r="A71" s="113" t="s">
        <v>326</v>
      </c>
      <c r="B71" s="114"/>
      <c r="C71" s="114"/>
      <c r="D71" s="114">
        <v>223</v>
      </c>
      <c r="E71" s="139"/>
      <c r="F71" s="139"/>
      <c r="G71" s="139"/>
      <c r="H71" s="114"/>
    </row>
    <row r="72" spans="1:8" ht="15.75">
      <c r="A72" s="113" t="s">
        <v>327</v>
      </c>
      <c r="B72" s="114"/>
      <c r="C72" s="114"/>
      <c r="D72" s="114">
        <v>225</v>
      </c>
      <c r="E72" s="114"/>
      <c r="F72" s="114"/>
      <c r="G72" s="114"/>
      <c r="H72" s="114"/>
    </row>
    <row r="73" spans="1:8" ht="15.75">
      <c r="A73" s="113" t="s">
        <v>328</v>
      </c>
      <c r="B73" s="114"/>
      <c r="C73" s="114"/>
      <c r="D73" s="114">
        <v>226</v>
      </c>
      <c r="E73" s="114"/>
      <c r="F73" s="114"/>
      <c r="G73" s="114"/>
      <c r="H73" s="114"/>
    </row>
    <row r="74" spans="1:8" ht="15.75">
      <c r="A74" s="113" t="s">
        <v>329</v>
      </c>
      <c r="B74" s="114"/>
      <c r="C74" s="114"/>
      <c r="D74" s="114">
        <v>312</v>
      </c>
      <c r="E74" s="138">
        <v>1423500</v>
      </c>
      <c r="F74" s="151">
        <v>1416000</v>
      </c>
      <c r="G74" s="151">
        <v>1416000</v>
      </c>
      <c r="H74" s="114"/>
    </row>
    <row r="75" spans="1:8" ht="15.75">
      <c r="A75" s="113" t="s">
        <v>330</v>
      </c>
      <c r="B75" s="114"/>
      <c r="C75" s="114"/>
      <c r="D75" s="114"/>
      <c r="E75" s="114"/>
      <c r="F75" s="114"/>
      <c r="G75" s="114"/>
      <c r="H75" s="114"/>
    </row>
    <row r="76" spans="1:8" ht="31.5">
      <c r="A76" s="113" t="s">
        <v>77</v>
      </c>
      <c r="B76" s="114">
        <v>2650</v>
      </c>
      <c r="C76" s="114">
        <v>400</v>
      </c>
      <c r="D76" s="114"/>
      <c r="E76" s="114">
        <f>E77+E79</f>
        <v>0</v>
      </c>
      <c r="F76" s="114"/>
      <c r="G76" s="114"/>
      <c r="H76" s="114"/>
    </row>
    <row r="77" spans="1:8" ht="15.75">
      <c r="A77" s="113" t="s">
        <v>33</v>
      </c>
      <c r="B77" s="201">
        <v>2651</v>
      </c>
      <c r="C77" s="201">
        <v>406</v>
      </c>
      <c r="D77" s="201"/>
      <c r="E77" s="201"/>
      <c r="F77" s="201"/>
      <c r="G77" s="201"/>
      <c r="H77" s="201"/>
    </row>
    <row r="78" spans="1:8" ht="31.5">
      <c r="A78" s="113" t="s">
        <v>78</v>
      </c>
      <c r="B78" s="201"/>
      <c r="C78" s="201"/>
      <c r="D78" s="201"/>
      <c r="E78" s="201"/>
      <c r="F78" s="201"/>
      <c r="G78" s="201"/>
      <c r="H78" s="201"/>
    </row>
    <row r="79" spans="1:8" ht="31.5">
      <c r="A79" s="113" t="s">
        <v>79</v>
      </c>
      <c r="B79" s="114">
        <v>2652</v>
      </c>
      <c r="C79" s="114">
        <v>407</v>
      </c>
      <c r="D79" s="114"/>
      <c r="E79" s="114"/>
      <c r="F79" s="114"/>
      <c r="G79" s="114"/>
      <c r="H79" s="114"/>
    </row>
    <row r="80" spans="1:8" ht="15.75">
      <c r="A80" s="135"/>
      <c r="B80" s="127"/>
      <c r="C80" s="127"/>
      <c r="D80" s="127"/>
      <c r="E80" s="127"/>
      <c r="F80" s="127"/>
      <c r="G80" s="127"/>
      <c r="H80" s="127"/>
    </row>
  </sheetData>
  <mergeCells count="102"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A2:G2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77:B78"/>
    <mergeCell ref="C77:C78"/>
    <mergeCell ref="D77:D78"/>
    <mergeCell ref="E77:E78"/>
    <mergeCell ref="F77:F78"/>
    <mergeCell ref="G77:G78"/>
    <mergeCell ref="H77:H78"/>
    <mergeCell ref="B65:B66"/>
    <mergeCell ref="C65:C66"/>
    <mergeCell ref="D65:D66"/>
    <mergeCell ref="E65:E66"/>
    <mergeCell ref="F65:F66"/>
    <mergeCell ref="G65:G66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</hyperlinks>
  <pageMargins left="0" right="0" top="0" bottom="0" header="0" footer="0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83"/>
  <sheetViews>
    <sheetView view="pageBreakPreview" zoomScale="60" zoomScaleNormal="80" workbookViewId="0">
      <selection activeCell="E71" sqref="E71:E79"/>
    </sheetView>
  </sheetViews>
  <sheetFormatPr defaultColWidth="9.140625" defaultRowHeight="15"/>
  <cols>
    <col min="1" max="1" width="78.140625" style="136" customWidth="1"/>
    <col min="2" max="2" width="9.140625" style="125"/>
    <col min="3" max="8" width="17.85546875" style="125" customWidth="1"/>
    <col min="9" max="9" width="9.140625" style="125"/>
    <col min="10" max="10" width="15.7109375" style="125" bestFit="1" customWidth="1"/>
    <col min="11" max="16384" width="9.140625" style="125"/>
  </cols>
  <sheetData>
    <row r="1" spans="1:8" ht="18.75">
      <c r="A1" s="207" t="s">
        <v>26</v>
      </c>
      <c r="B1" s="207"/>
      <c r="C1" s="207"/>
      <c r="D1" s="207"/>
      <c r="E1" s="207"/>
      <c r="F1" s="207"/>
      <c r="G1" s="207"/>
      <c r="H1" s="207"/>
    </row>
    <row r="2" spans="1:8" ht="18.75">
      <c r="A2" s="164"/>
      <c r="B2" s="170"/>
      <c r="C2" s="167" t="s">
        <v>358</v>
      </c>
      <c r="D2" s="167"/>
      <c r="E2" s="167"/>
      <c r="F2" s="170"/>
      <c r="G2" s="170"/>
      <c r="H2" s="170"/>
    </row>
    <row r="3" spans="1:8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52" t="s">
        <v>369</v>
      </c>
      <c r="F4" s="114" t="s">
        <v>346</v>
      </c>
      <c r="G4" s="114" t="s">
        <v>347</v>
      </c>
      <c r="H4" s="114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324</v>
      </c>
      <c r="B6" s="114">
        <v>1</v>
      </c>
      <c r="C6" s="114" t="s">
        <v>31</v>
      </c>
      <c r="D6" s="114" t="s">
        <v>31</v>
      </c>
      <c r="E6" s="114"/>
      <c r="F6" s="114"/>
      <c r="G6" s="114"/>
      <c r="H6" s="114"/>
    </row>
    <row r="7" spans="1:8" ht="15.75">
      <c r="A7" s="132" t="s">
        <v>325</v>
      </c>
      <c r="B7" s="114">
        <v>2</v>
      </c>
      <c r="C7" s="114" t="s">
        <v>31</v>
      </c>
      <c r="D7" s="114" t="s">
        <v>31</v>
      </c>
      <c r="E7" s="114"/>
      <c r="F7" s="114"/>
      <c r="G7" s="114"/>
      <c r="H7" s="114"/>
    </row>
    <row r="8" spans="1:8" ht="15.75">
      <c r="A8" s="113" t="s">
        <v>32</v>
      </c>
      <c r="B8" s="114">
        <v>1000</v>
      </c>
      <c r="C8" s="114"/>
      <c r="D8" s="114"/>
      <c r="E8" s="177">
        <f>E12</f>
        <v>7950728.7799999993</v>
      </c>
      <c r="F8" s="177">
        <f t="shared" ref="F8:G8" si="0">F12</f>
        <v>5172800</v>
      </c>
      <c r="G8" s="177">
        <f t="shared" si="0"/>
        <v>5172800</v>
      </c>
      <c r="H8" s="114"/>
    </row>
    <row r="9" spans="1:8" ht="15.75">
      <c r="A9" s="113" t="s">
        <v>33</v>
      </c>
      <c r="B9" s="201">
        <v>1100</v>
      </c>
      <c r="C9" s="201">
        <v>120</v>
      </c>
      <c r="D9" s="201"/>
      <c r="E9" s="210"/>
      <c r="F9" s="210"/>
      <c r="G9" s="210"/>
      <c r="H9" s="201"/>
    </row>
    <row r="10" spans="1:8" ht="15.75">
      <c r="A10" s="113" t="s">
        <v>34</v>
      </c>
      <c r="B10" s="201"/>
      <c r="C10" s="201"/>
      <c r="D10" s="201"/>
      <c r="E10" s="210"/>
      <c r="F10" s="210"/>
      <c r="G10" s="210"/>
      <c r="H10" s="201"/>
    </row>
    <row r="11" spans="1:8" ht="15.75">
      <c r="A11" s="113" t="s">
        <v>35</v>
      </c>
      <c r="B11" s="114">
        <v>1110</v>
      </c>
      <c r="C11" s="114"/>
      <c r="D11" s="114"/>
      <c r="E11" s="115"/>
      <c r="F11" s="115"/>
      <c r="G11" s="115"/>
      <c r="H11" s="114"/>
    </row>
    <row r="12" spans="1:8" ht="15.75">
      <c r="A12" s="113" t="s">
        <v>36</v>
      </c>
      <c r="B12" s="114">
        <v>1200</v>
      </c>
      <c r="C12" s="114">
        <v>130</v>
      </c>
      <c r="D12" s="114"/>
      <c r="E12" s="115">
        <f>E13</f>
        <v>7950728.7799999993</v>
      </c>
      <c r="F12" s="115">
        <f t="shared" ref="F12:G12" si="1">F13</f>
        <v>5172800</v>
      </c>
      <c r="G12" s="115">
        <f t="shared" si="1"/>
        <v>5172800</v>
      </c>
      <c r="H12" s="114"/>
    </row>
    <row r="13" spans="1:8" ht="15.75">
      <c r="A13" s="113" t="s">
        <v>33</v>
      </c>
      <c r="B13" s="201">
        <v>1210</v>
      </c>
      <c r="C13" s="201">
        <v>130</v>
      </c>
      <c r="D13" s="201"/>
      <c r="E13" s="210">
        <f>E32</f>
        <v>7950728.7799999993</v>
      </c>
      <c r="F13" s="210">
        <f t="shared" ref="F13:G13" si="2">F32</f>
        <v>5172800</v>
      </c>
      <c r="G13" s="210">
        <f t="shared" si="2"/>
        <v>5172800</v>
      </c>
      <c r="H13" s="201"/>
    </row>
    <row r="14" spans="1:8" ht="15.75">
      <c r="A14" s="113" t="s">
        <v>37</v>
      </c>
      <c r="B14" s="201"/>
      <c r="C14" s="201"/>
      <c r="D14" s="201"/>
      <c r="E14" s="210"/>
      <c r="F14" s="210"/>
      <c r="G14" s="210"/>
      <c r="H14" s="201"/>
    </row>
    <row r="15" spans="1:8" ht="31.5">
      <c r="A15" s="113" t="s">
        <v>38</v>
      </c>
      <c r="B15" s="114">
        <v>1230</v>
      </c>
      <c r="C15" s="114"/>
      <c r="D15" s="114"/>
      <c r="E15" s="114"/>
      <c r="F15" s="114"/>
      <c r="G15" s="114"/>
      <c r="H15" s="114"/>
    </row>
    <row r="16" spans="1:8" ht="47.25">
      <c r="A16" s="113" t="s">
        <v>39</v>
      </c>
      <c r="B16" s="114">
        <v>1240</v>
      </c>
      <c r="C16" s="114"/>
      <c r="D16" s="114"/>
      <c r="E16" s="114"/>
      <c r="F16" s="114"/>
      <c r="G16" s="114"/>
      <c r="H16" s="114"/>
    </row>
    <row r="17" spans="1:8" ht="15.75">
      <c r="A17" s="113"/>
      <c r="B17" s="114"/>
      <c r="C17" s="114"/>
      <c r="D17" s="114"/>
      <c r="E17" s="114"/>
      <c r="F17" s="114"/>
      <c r="G17" s="114"/>
      <c r="H17" s="114"/>
    </row>
    <row r="18" spans="1:8" ht="15.75">
      <c r="A18" s="113" t="s">
        <v>40</v>
      </c>
      <c r="B18" s="114">
        <v>1300</v>
      </c>
      <c r="C18" s="114">
        <v>140</v>
      </c>
      <c r="D18" s="114"/>
      <c r="E18" s="114"/>
      <c r="F18" s="114"/>
      <c r="G18" s="114"/>
      <c r="H18" s="114"/>
    </row>
    <row r="19" spans="1:8" ht="15.75">
      <c r="A19" s="113" t="s">
        <v>33</v>
      </c>
      <c r="B19" s="114">
        <v>1310</v>
      </c>
      <c r="C19" s="114">
        <v>140</v>
      </c>
      <c r="D19" s="114"/>
      <c r="E19" s="114"/>
      <c r="F19" s="114"/>
      <c r="G19" s="114"/>
      <c r="H19" s="114"/>
    </row>
    <row r="20" spans="1:8" ht="15.75">
      <c r="A20" s="113" t="s">
        <v>41</v>
      </c>
      <c r="B20" s="114">
        <v>1400</v>
      </c>
      <c r="C20" s="114">
        <v>150</v>
      </c>
      <c r="D20" s="114"/>
      <c r="E20" s="114"/>
      <c r="F20" s="114"/>
      <c r="G20" s="114"/>
      <c r="H20" s="114"/>
    </row>
    <row r="21" spans="1:8" ht="15.75">
      <c r="A21" s="113" t="s">
        <v>33</v>
      </c>
      <c r="B21" s="114"/>
      <c r="C21" s="114"/>
      <c r="D21" s="114"/>
      <c r="E21" s="114"/>
      <c r="F21" s="114"/>
      <c r="G21" s="114"/>
      <c r="H21" s="114"/>
    </row>
    <row r="22" spans="1:8" ht="15.75">
      <c r="A22" s="113" t="s">
        <v>42</v>
      </c>
      <c r="B22" s="114">
        <v>1500</v>
      </c>
      <c r="C22" s="114">
        <v>180</v>
      </c>
      <c r="D22" s="114"/>
      <c r="E22" s="114"/>
      <c r="F22" s="114"/>
      <c r="G22" s="114"/>
      <c r="H22" s="114"/>
    </row>
    <row r="23" spans="1:8" ht="15.75">
      <c r="A23" s="113" t="s">
        <v>33</v>
      </c>
      <c r="B23" s="201">
        <v>1510</v>
      </c>
      <c r="C23" s="201">
        <v>180</v>
      </c>
      <c r="D23" s="201"/>
      <c r="E23" s="201"/>
      <c r="F23" s="201"/>
      <c r="G23" s="201"/>
      <c r="H23" s="201"/>
    </row>
    <row r="24" spans="1:8" ht="15.75">
      <c r="A24" s="113" t="s">
        <v>43</v>
      </c>
      <c r="B24" s="201"/>
      <c r="C24" s="201"/>
      <c r="D24" s="201"/>
      <c r="E24" s="201"/>
      <c r="F24" s="201"/>
      <c r="G24" s="201"/>
      <c r="H24" s="201"/>
    </row>
    <row r="25" spans="1:8" ht="15.75">
      <c r="A25" s="113" t="s">
        <v>44</v>
      </c>
      <c r="B25" s="114">
        <v>1520</v>
      </c>
      <c r="C25" s="114">
        <v>180</v>
      </c>
      <c r="D25" s="114"/>
      <c r="E25" s="114"/>
      <c r="F25" s="114"/>
      <c r="G25" s="114"/>
      <c r="H25" s="114"/>
    </row>
    <row r="26" spans="1:8" ht="15.75">
      <c r="A26" s="113" t="s">
        <v>45</v>
      </c>
      <c r="B26" s="114">
        <v>1900</v>
      </c>
      <c r="C26" s="114"/>
      <c r="D26" s="114"/>
      <c r="E26" s="114"/>
      <c r="F26" s="114"/>
      <c r="G26" s="114"/>
      <c r="H26" s="114"/>
    </row>
    <row r="27" spans="1:8" ht="15.75">
      <c r="A27" s="113" t="s">
        <v>33</v>
      </c>
      <c r="B27" s="114"/>
      <c r="C27" s="114"/>
      <c r="D27" s="114"/>
      <c r="E27" s="114"/>
      <c r="F27" s="114"/>
      <c r="G27" s="114"/>
      <c r="H27" s="114"/>
    </row>
    <row r="28" spans="1:8" ht="15.75">
      <c r="A28" s="132" t="s">
        <v>46</v>
      </c>
      <c r="B28" s="114">
        <v>1980</v>
      </c>
      <c r="C28" s="114" t="s">
        <v>31</v>
      </c>
      <c r="D28" s="114"/>
      <c r="E28" s="114"/>
      <c r="F28" s="114"/>
      <c r="G28" s="114"/>
      <c r="H28" s="114"/>
    </row>
    <row r="29" spans="1:8" ht="15.75">
      <c r="A29" s="113" t="s">
        <v>47</v>
      </c>
      <c r="B29" s="201">
        <v>1981</v>
      </c>
      <c r="C29" s="201">
        <v>510</v>
      </c>
      <c r="D29" s="201"/>
      <c r="E29" s="201"/>
      <c r="F29" s="201"/>
      <c r="G29" s="201"/>
      <c r="H29" s="201" t="s">
        <v>31</v>
      </c>
    </row>
    <row r="30" spans="1:8" ht="31.5">
      <c r="A30" s="113" t="s">
        <v>48</v>
      </c>
      <c r="B30" s="201"/>
      <c r="C30" s="201"/>
      <c r="D30" s="201"/>
      <c r="E30" s="201"/>
      <c r="F30" s="201"/>
      <c r="G30" s="201"/>
      <c r="H30" s="201"/>
    </row>
    <row r="31" spans="1:8" ht="15.75">
      <c r="A31" s="113"/>
      <c r="B31" s="114"/>
      <c r="C31" s="114"/>
      <c r="D31" s="114"/>
      <c r="E31" s="114"/>
      <c r="F31" s="114"/>
      <c r="G31" s="114"/>
      <c r="H31" s="114"/>
    </row>
    <row r="32" spans="1:8" ht="15.75">
      <c r="A32" s="113" t="s">
        <v>49</v>
      </c>
      <c r="B32" s="114">
        <v>2000</v>
      </c>
      <c r="C32" s="114" t="s">
        <v>31</v>
      </c>
      <c r="D32" s="114"/>
      <c r="E32" s="177">
        <f>E33+E43+E54+E59+E62+E64</f>
        <v>7950728.7799999993</v>
      </c>
      <c r="F32" s="177">
        <f t="shared" ref="F32:G32" si="3">F33+F43+F54+F59+F62+F64</f>
        <v>5172800</v>
      </c>
      <c r="G32" s="177">
        <f t="shared" si="3"/>
        <v>5172800</v>
      </c>
      <c r="H32" s="114"/>
    </row>
    <row r="33" spans="1:10" ht="15.75">
      <c r="A33" s="113" t="s">
        <v>33</v>
      </c>
      <c r="B33" s="201">
        <v>2100</v>
      </c>
      <c r="C33" s="201" t="s">
        <v>31</v>
      </c>
      <c r="D33" s="201"/>
      <c r="E33" s="202">
        <f>E35+E37+E38+E39</f>
        <v>827249</v>
      </c>
      <c r="F33" s="202">
        <f t="shared" ref="F33:G33" si="4">F35+F37+F38+F39</f>
        <v>693300</v>
      </c>
      <c r="G33" s="202">
        <f t="shared" si="4"/>
        <v>693300</v>
      </c>
      <c r="H33" s="201" t="s">
        <v>31</v>
      </c>
    </row>
    <row r="34" spans="1:10" ht="15.75">
      <c r="A34" s="113" t="s">
        <v>50</v>
      </c>
      <c r="B34" s="201"/>
      <c r="C34" s="201"/>
      <c r="D34" s="201"/>
      <c r="E34" s="203"/>
      <c r="F34" s="203"/>
      <c r="G34" s="203"/>
      <c r="H34" s="201"/>
    </row>
    <row r="35" spans="1:10" ht="15.75">
      <c r="A35" s="113" t="s">
        <v>33</v>
      </c>
      <c r="B35" s="201">
        <v>2110</v>
      </c>
      <c r="C35" s="201">
        <v>111</v>
      </c>
      <c r="D35" s="201">
        <v>211</v>
      </c>
      <c r="E35" s="202">
        <v>632850.62</v>
      </c>
      <c r="F35" s="210">
        <v>528600</v>
      </c>
      <c r="G35" s="210">
        <v>528600</v>
      </c>
      <c r="H35" s="201" t="s">
        <v>31</v>
      </c>
    </row>
    <row r="36" spans="1:10">
      <c r="A36" s="134" t="s">
        <v>51</v>
      </c>
      <c r="B36" s="201"/>
      <c r="C36" s="201"/>
      <c r="D36" s="201"/>
      <c r="E36" s="203"/>
      <c r="F36" s="210"/>
      <c r="G36" s="210"/>
      <c r="H36" s="201"/>
    </row>
    <row r="37" spans="1:10" ht="30">
      <c r="A37" s="116" t="s">
        <v>355</v>
      </c>
      <c r="B37" s="114">
        <v>2120</v>
      </c>
      <c r="C37" s="114">
        <v>111</v>
      </c>
      <c r="D37" s="114">
        <v>266</v>
      </c>
      <c r="E37" s="115">
        <v>3277.5</v>
      </c>
      <c r="F37" s="115">
        <v>5000</v>
      </c>
      <c r="G37" s="115">
        <v>5000</v>
      </c>
      <c r="H37" s="114" t="s">
        <v>31</v>
      </c>
    </row>
    <row r="38" spans="1:10" ht="30">
      <c r="A38" s="134" t="s">
        <v>53</v>
      </c>
      <c r="B38" s="114">
        <v>2130</v>
      </c>
      <c r="C38" s="114">
        <v>113</v>
      </c>
      <c r="D38" s="114"/>
      <c r="E38" s="115"/>
      <c r="F38" s="115"/>
      <c r="G38" s="115"/>
      <c r="H38" s="114" t="s">
        <v>31</v>
      </c>
    </row>
    <row r="39" spans="1:10" ht="31.5">
      <c r="A39" s="113" t="s">
        <v>54</v>
      </c>
      <c r="B39" s="114">
        <v>2140</v>
      </c>
      <c r="C39" s="114">
        <v>119</v>
      </c>
      <c r="D39" s="114">
        <v>213</v>
      </c>
      <c r="E39" s="115">
        <v>191120.88</v>
      </c>
      <c r="F39" s="115">
        <v>159700</v>
      </c>
      <c r="G39" s="115">
        <v>159700</v>
      </c>
      <c r="H39" s="114" t="s">
        <v>31</v>
      </c>
    </row>
    <row r="40" spans="1:10" ht="15.75">
      <c r="A40" s="113" t="s">
        <v>33</v>
      </c>
      <c r="B40" s="201">
        <v>2141</v>
      </c>
      <c r="C40" s="201">
        <v>119</v>
      </c>
      <c r="D40" s="201"/>
      <c r="E40" s="202">
        <f>E39</f>
        <v>191120.88</v>
      </c>
      <c r="F40" s="202">
        <f t="shared" ref="F40:G40" si="5">F39</f>
        <v>159700</v>
      </c>
      <c r="G40" s="202">
        <f t="shared" si="5"/>
        <v>159700</v>
      </c>
      <c r="H40" s="201" t="s">
        <v>31</v>
      </c>
    </row>
    <row r="41" spans="1:10" ht="15.75">
      <c r="A41" s="113" t="s">
        <v>55</v>
      </c>
      <c r="B41" s="201"/>
      <c r="C41" s="201"/>
      <c r="D41" s="201"/>
      <c r="E41" s="203"/>
      <c r="F41" s="203"/>
      <c r="G41" s="203"/>
      <c r="H41" s="201"/>
    </row>
    <row r="42" spans="1:10" ht="15.75">
      <c r="A42" s="113" t="s">
        <v>56</v>
      </c>
      <c r="B42" s="114">
        <v>2142</v>
      </c>
      <c r="C42" s="114">
        <v>119</v>
      </c>
      <c r="D42" s="114"/>
      <c r="E42" s="115"/>
      <c r="F42" s="115"/>
      <c r="G42" s="115"/>
      <c r="H42" s="114" t="s">
        <v>31</v>
      </c>
    </row>
    <row r="43" spans="1:10" ht="15.75">
      <c r="A43" s="134" t="s">
        <v>87</v>
      </c>
      <c r="B43" s="114">
        <v>2200</v>
      </c>
      <c r="C43" s="114">
        <v>300</v>
      </c>
      <c r="D43" s="114">
        <v>262</v>
      </c>
      <c r="E43" s="115">
        <f>E44+E51+E52+E53</f>
        <v>30600</v>
      </c>
      <c r="F43" s="153">
        <f t="shared" ref="F43:G43" si="6">F44+F51+F52+F53</f>
        <v>30600</v>
      </c>
      <c r="G43" s="153">
        <f t="shared" si="6"/>
        <v>30600</v>
      </c>
      <c r="H43" s="114" t="s">
        <v>31</v>
      </c>
    </row>
    <row r="44" spans="1:10" ht="15.75">
      <c r="A44" s="113" t="s">
        <v>33</v>
      </c>
      <c r="B44" s="201">
        <v>2210</v>
      </c>
      <c r="C44" s="201">
        <v>320</v>
      </c>
      <c r="D44" s="201"/>
      <c r="E44" s="202">
        <f>E46+E48</f>
        <v>30600</v>
      </c>
      <c r="F44" s="202">
        <f t="shared" ref="F44:G44" si="7">F46+F48</f>
        <v>30600</v>
      </c>
      <c r="G44" s="202">
        <f t="shared" si="7"/>
        <v>30600</v>
      </c>
      <c r="H44" s="201" t="s">
        <v>31</v>
      </c>
    </row>
    <row r="45" spans="1:10" ht="31.5">
      <c r="A45" s="113" t="s">
        <v>57</v>
      </c>
      <c r="B45" s="201"/>
      <c r="C45" s="201"/>
      <c r="D45" s="201"/>
      <c r="E45" s="203"/>
      <c r="F45" s="203"/>
      <c r="G45" s="203"/>
      <c r="H45" s="201"/>
    </row>
    <row r="46" spans="1:10" ht="15.75">
      <c r="A46" s="113" t="s">
        <v>47</v>
      </c>
      <c r="B46" s="201">
        <v>2211</v>
      </c>
      <c r="C46" s="201">
        <v>321</v>
      </c>
      <c r="D46" s="201">
        <v>262</v>
      </c>
      <c r="E46" s="213">
        <v>30600</v>
      </c>
      <c r="F46" s="213">
        <v>30600</v>
      </c>
      <c r="G46" s="213">
        <v>30600</v>
      </c>
      <c r="H46" s="201" t="s">
        <v>31</v>
      </c>
      <c r="J46" s="156"/>
    </row>
    <row r="47" spans="1:10" ht="31.5">
      <c r="A47" s="113" t="s">
        <v>58</v>
      </c>
      <c r="B47" s="201"/>
      <c r="C47" s="201"/>
      <c r="D47" s="201"/>
      <c r="E47" s="205"/>
      <c r="F47" s="205"/>
      <c r="G47" s="205"/>
      <c r="H47" s="201"/>
    </row>
    <row r="48" spans="1:10" ht="15.75">
      <c r="A48" s="113" t="s">
        <v>59</v>
      </c>
      <c r="B48" s="201">
        <v>2212</v>
      </c>
      <c r="C48" s="201">
        <v>323</v>
      </c>
      <c r="D48" s="201"/>
      <c r="E48" s="204"/>
      <c r="F48" s="201"/>
      <c r="G48" s="201"/>
      <c r="H48" s="201"/>
    </row>
    <row r="49" spans="1:8" ht="15.75">
      <c r="A49" s="113" t="s">
        <v>60</v>
      </c>
      <c r="B49" s="201"/>
      <c r="C49" s="201"/>
      <c r="D49" s="201"/>
      <c r="E49" s="212"/>
      <c r="F49" s="201"/>
      <c r="G49" s="201"/>
      <c r="H49" s="201"/>
    </row>
    <row r="50" spans="1:8" ht="15.75">
      <c r="A50" s="113" t="s">
        <v>61</v>
      </c>
      <c r="B50" s="201"/>
      <c r="C50" s="201"/>
      <c r="D50" s="201"/>
      <c r="E50" s="205"/>
      <c r="F50" s="201"/>
      <c r="G50" s="201"/>
      <c r="H50" s="201"/>
    </row>
    <row r="51" spans="1:8" ht="15.75">
      <c r="A51" s="113" t="s">
        <v>62</v>
      </c>
      <c r="B51" s="114">
        <v>2220</v>
      </c>
      <c r="C51" s="114">
        <v>340</v>
      </c>
      <c r="D51" s="114"/>
      <c r="E51" s="114"/>
      <c r="F51" s="114"/>
      <c r="G51" s="114"/>
      <c r="H51" s="114" t="s">
        <v>31</v>
      </c>
    </row>
    <row r="52" spans="1:8" ht="15.75">
      <c r="A52" s="113" t="s">
        <v>63</v>
      </c>
      <c r="B52" s="114">
        <v>2230</v>
      </c>
      <c r="C52" s="114">
        <v>350</v>
      </c>
      <c r="D52" s="114"/>
      <c r="E52" s="114"/>
      <c r="F52" s="114"/>
      <c r="G52" s="114"/>
      <c r="H52" s="114" t="s">
        <v>31</v>
      </c>
    </row>
    <row r="53" spans="1:8" ht="15.75">
      <c r="A53" s="113" t="s">
        <v>64</v>
      </c>
      <c r="B53" s="114">
        <v>2240</v>
      </c>
      <c r="C53" s="114">
        <v>360</v>
      </c>
      <c r="D53" s="114"/>
      <c r="E53" s="114"/>
      <c r="F53" s="114"/>
      <c r="G53" s="114"/>
      <c r="H53" s="114" t="s">
        <v>31</v>
      </c>
    </row>
    <row r="54" spans="1:8" ht="15.75">
      <c r="A54" s="113" t="s">
        <v>65</v>
      </c>
      <c r="B54" s="114">
        <v>2300</v>
      </c>
      <c r="C54" s="114">
        <v>850</v>
      </c>
      <c r="D54" s="114"/>
      <c r="E54" s="115"/>
      <c r="F54" s="115"/>
      <c r="G54" s="115"/>
      <c r="H54" s="114" t="s">
        <v>31</v>
      </c>
    </row>
    <row r="55" spans="1:8" ht="15.75">
      <c r="A55" s="113" t="s">
        <v>47</v>
      </c>
      <c r="B55" s="201">
        <v>2310</v>
      </c>
      <c r="C55" s="201">
        <v>851</v>
      </c>
      <c r="D55" s="201"/>
      <c r="E55" s="202"/>
      <c r="F55" s="210"/>
      <c r="G55" s="210"/>
      <c r="H55" s="201" t="s">
        <v>31</v>
      </c>
    </row>
    <row r="56" spans="1:8" ht="15.75">
      <c r="A56" s="113" t="s">
        <v>88</v>
      </c>
      <c r="B56" s="201"/>
      <c r="C56" s="201"/>
      <c r="D56" s="201"/>
      <c r="E56" s="203"/>
      <c r="F56" s="210"/>
      <c r="G56" s="210"/>
      <c r="H56" s="201"/>
    </row>
    <row r="57" spans="1:8" ht="15.75">
      <c r="A57" s="134" t="s">
        <v>66</v>
      </c>
      <c r="B57" s="114">
        <v>2320</v>
      </c>
      <c r="C57" s="114">
        <v>852</v>
      </c>
      <c r="D57" s="114"/>
      <c r="E57" s="115"/>
      <c r="F57" s="115"/>
      <c r="G57" s="115"/>
      <c r="H57" s="114" t="s">
        <v>31</v>
      </c>
    </row>
    <row r="58" spans="1:8" ht="15.75">
      <c r="A58" s="134" t="s">
        <v>67</v>
      </c>
      <c r="B58" s="114">
        <v>2330</v>
      </c>
      <c r="C58" s="114">
        <v>853</v>
      </c>
      <c r="D58" s="114"/>
      <c r="E58" s="115"/>
      <c r="F58" s="115"/>
      <c r="G58" s="115"/>
      <c r="H58" s="114" t="s">
        <v>31</v>
      </c>
    </row>
    <row r="59" spans="1:8" ht="15.75">
      <c r="A59" s="113" t="s">
        <v>68</v>
      </c>
      <c r="B59" s="114">
        <v>2400</v>
      </c>
      <c r="C59" s="114" t="s">
        <v>31</v>
      </c>
      <c r="D59" s="114"/>
      <c r="E59" s="115">
        <f>E60</f>
        <v>0</v>
      </c>
      <c r="F59" s="115"/>
      <c r="G59" s="115"/>
      <c r="H59" s="114" t="s">
        <v>31</v>
      </c>
    </row>
    <row r="60" spans="1:8" ht="15.75">
      <c r="A60" s="113" t="s">
        <v>47</v>
      </c>
      <c r="B60" s="201">
        <v>2410</v>
      </c>
      <c r="C60" s="201">
        <v>810</v>
      </c>
      <c r="D60" s="201"/>
      <c r="E60" s="202"/>
      <c r="F60" s="210"/>
      <c r="G60" s="210"/>
      <c r="H60" s="201" t="s">
        <v>31</v>
      </c>
    </row>
    <row r="61" spans="1:8" ht="47.25">
      <c r="A61" s="113" t="s">
        <v>69</v>
      </c>
      <c r="B61" s="201"/>
      <c r="C61" s="201"/>
      <c r="D61" s="201"/>
      <c r="E61" s="203"/>
      <c r="F61" s="210"/>
      <c r="G61" s="210"/>
      <c r="H61" s="201"/>
    </row>
    <row r="62" spans="1:8" ht="15.75">
      <c r="A62" s="113" t="s">
        <v>70</v>
      </c>
      <c r="B62" s="114">
        <v>2500</v>
      </c>
      <c r="C62" s="114" t="s">
        <v>31</v>
      </c>
      <c r="D62" s="114"/>
      <c r="E62" s="115">
        <f>E63</f>
        <v>0</v>
      </c>
      <c r="F62" s="115"/>
      <c r="G62" s="115"/>
      <c r="H62" s="114" t="s">
        <v>31</v>
      </c>
    </row>
    <row r="63" spans="1:8" ht="31.5">
      <c r="A63" s="113" t="s">
        <v>71</v>
      </c>
      <c r="B63" s="114">
        <v>2520</v>
      </c>
      <c r="C63" s="114">
        <v>831</v>
      </c>
      <c r="D63" s="114"/>
      <c r="E63" s="115"/>
      <c r="F63" s="115"/>
      <c r="G63" s="115"/>
      <c r="H63" s="114" t="s">
        <v>31</v>
      </c>
    </row>
    <row r="64" spans="1:8" ht="15.75">
      <c r="A64" s="132" t="s">
        <v>72</v>
      </c>
      <c r="B64" s="114">
        <v>2600</v>
      </c>
      <c r="C64" s="114" t="s">
        <v>31</v>
      </c>
      <c r="D64" s="114"/>
      <c r="E64" s="115">
        <f>E65+E67+E68+E69+E79</f>
        <v>7092879.7799999993</v>
      </c>
      <c r="F64" s="115">
        <f>F65+F67+F68+F69+F79</f>
        <v>4448900</v>
      </c>
      <c r="G64" s="115">
        <f>G65+G67+G68+G69+G79</f>
        <v>4448900</v>
      </c>
      <c r="H64" s="114"/>
    </row>
    <row r="65" spans="1:8" ht="15.75">
      <c r="A65" s="113" t="s">
        <v>33</v>
      </c>
      <c r="B65" s="201">
        <v>2610</v>
      </c>
      <c r="C65" s="201">
        <v>241</v>
      </c>
      <c r="D65" s="201"/>
      <c r="E65" s="204"/>
      <c r="F65" s="204"/>
      <c r="G65" s="204"/>
      <c r="H65" s="201"/>
    </row>
    <row r="66" spans="1:8" ht="15.75">
      <c r="A66" s="113" t="s">
        <v>73</v>
      </c>
      <c r="B66" s="201"/>
      <c r="C66" s="201"/>
      <c r="D66" s="201"/>
      <c r="E66" s="205"/>
      <c r="F66" s="205"/>
      <c r="G66" s="205"/>
      <c r="H66" s="201"/>
    </row>
    <row r="67" spans="1:8" ht="31.5">
      <c r="A67" s="113" t="s">
        <v>74</v>
      </c>
      <c r="B67" s="114">
        <v>2620</v>
      </c>
      <c r="C67" s="114">
        <v>242</v>
      </c>
      <c r="D67" s="114"/>
      <c r="E67" s="114"/>
      <c r="F67" s="114"/>
      <c r="G67" s="114"/>
      <c r="H67" s="114"/>
    </row>
    <row r="68" spans="1:8" ht="31.5">
      <c r="A68" s="113" t="s">
        <v>75</v>
      </c>
      <c r="B68" s="114">
        <v>2630</v>
      </c>
      <c r="C68" s="114">
        <v>243</v>
      </c>
      <c r="D68" s="114"/>
      <c r="E68" s="114"/>
      <c r="F68" s="114"/>
      <c r="G68" s="114"/>
      <c r="H68" s="114"/>
    </row>
    <row r="69" spans="1:8" ht="15.75">
      <c r="A69" s="113" t="s">
        <v>76</v>
      </c>
      <c r="B69" s="114">
        <v>2640</v>
      </c>
      <c r="C69" s="114"/>
      <c r="D69" s="114"/>
      <c r="E69" s="115">
        <f>SUM(E71:E77)</f>
        <v>7092879.7799999993</v>
      </c>
      <c r="F69" s="160">
        <f t="shared" ref="F69:G69" si="8">SUM(F71:F77)</f>
        <v>4448900</v>
      </c>
      <c r="G69" s="160">
        <f t="shared" si="8"/>
        <v>4448900</v>
      </c>
      <c r="H69" s="114"/>
    </row>
    <row r="70" spans="1:8" ht="15.75">
      <c r="A70" s="113" t="s">
        <v>47</v>
      </c>
      <c r="B70" s="114"/>
      <c r="C70" s="114"/>
      <c r="D70" s="114"/>
      <c r="E70" s="115"/>
      <c r="F70" s="168"/>
      <c r="G70" s="168"/>
      <c r="H70" s="114"/>
    </row>
    <row r="71" spans="1:8" ht="15.75">
      <c r="A71" s="113" t="s">
        <v>356</v>
      </c>
      <c r="B71" s="114"/>
      <c r="C71" s="114">
        <v>244</v>
      </c>
      <c r="D71" s="114">
        <v>221</v>
      </c>
      <c r="E71" s="115">
        <v>9760</v>
      </c>
      <c r="F71" s="115">
        <v>18800</v>
      </c>
      <c r="G71" s="115">
        <v>18800</v>
      </c>
      <c r="H71" s="114"/>
    </row>
    <row r="72" spans="1:8" ht="15.75">
      <c r="A72" s="113" t="s">
        <v>326</v>
      </c>
      <c r="B72" s="114"/>
      <c r="C72" s="114">
        <v>244</v>
      </c>
      <c r="D72" s="114">
        <v>223</v>
      </c>
      <c r="E72" s="115">
        <f>81500+53375.52+84050.65+110376.92</f>
        <v>329303.08999999997</v>
      </c>
      <c r="F72" s="115">
        <f>68500+33000+62000+72700</f>
        <v>236200</v>
      </c>
      <c r="G72" s="115">
        <f>68500+33000+62000+72700</f>
        <v>236200</v>
      </c>
      <c r="H72" s="114"/>
    </row>
    <row r="73" spans="1:8" ht="15.75">
      <c r="A73" s="113" t="s">
        <v>326</v>
      </c>
      <c r="B73" s="114"/>
      <c r="C73" s="114">
        <v>247</v>
      </c>
      <c r="D73" s="114">
        <v>223</v>
      </c>
      <c r="E73" s="115">
        <f>2353094.66+420100</f>
        <v>2773194.66</v>
      </c>
      <c r="F73" s="115">
        <f>1170336+435900</f>
        <v>1606236</v>
      </c>
      <c r="G73" s="115">
        <f>1319000+435900</f>
        <v>1754900</v>
      </c>
      <c r="H73" s="114"/>
    </row>
    <row r="74" spans="1:8" ht="15.75">
      <c r="A74" s="113" t="s">
        <v>327</v>
      </c>
      <c r="B74" s="114"/>
      <c r="C74" s="114">
        <v>244</v>
      </c>
      <c r="D74" s="114">
        <v>225</v>
      </c>
      <c r="E74" s="115">
        <f>2236221.03+57476+284034</f>
        <v>2577731.0299999998</v>
      </c>
      <c r="F74" s="115">
        <f>1208900+206500</f>
        <v>1415400</v>
      </c>
      <c r="G74" s="115">
        <f>1208900+206500</f>
        <v>1415400</v>
      </c>
      <c r="H74" s="114"/>
    </row>
    <row r="75" spans="1:8" ht="15.75">
      <c r="A75" s="113" t="s">
        <v>328</v>
      </c>
      <c r="B75" s="114"/>
      <c r="C75" s="114">
        <v>244</v>
      </c>
      <c r="D75" s="114">
        <v>226</v>
      </c>
      <c r="E75" s="115">
        <f>691441+77350</f>
        <v>768791</v>
      </c>
      <c r="F75" s="115">
        <f>666564+55700</f>
        <v>722264</v>
      </c>
      <c r="G75" s="115">
        <f>517900+55700</f>
        <v>573600</v>
      </c>
      <c r="H75" s="114"/>
    </row>
    <row r="76" spans="1:8" ht="15.75">
      <c r="A76" s="113" t="s">
        <v>331</v>
      </c>
      <c r="B76" s="114"/>
      <c r="C76" s="114">
        <v>244</v>
      </c>
      <c r="D76" s="114">
        <v>312</v>
      </c>
      <c r="E76" s="115">
        <v>625980</v>
      </c>
      <c r="F76" s="115">
        <v>450000</v>
      </c>
      <c r="G76" s="115">
        <v>450000</v>
      </c>
      <c r="H76" s="114"/>
    </row>
    <row r="77" spans="1:8" ht="15.75">
      <c r="A77" s="161"/>
      <c r="B77" s="159"/>
      <c r="C77" s="159"/>
      <c r="D77" s="159">
        <v>346</v>
      </c>
      <c r="E77" s="160">
        <v>8120</v>
      </c>
      <c r="F77" s="160"/>
      <c r="G77" s="160"/>
      <c r="H77" s="159"/>
    </row>
    <row r="78" spans="1:8" ht="15.75">
      <c r="A78" s="113" t="s">
        <v>330</v>
      </c>
      <c r="B78" s="114"/>
      <c r="C78" s="114"/>
      <c r="D78" s="114"/>
      <c r="E78" s="114"/>
      <c r="F78" s="114"/>
      <c r="G78" s="114"/>
      <c r="H78" s="114"/>
    </row>
    <row r="79" spans="1:8" ht="31.5">
      <c r="A79" s="113" t="s">
        <v>77</v>
      </c>
      <c r="B79" s="114">
        <v>2650</v>
      </c>
      <c r="C79" s="114">
        <v>400</v>
      </c>
      <c r="D79" s="114"/>
      <c r="E79" s="114">
        <f>E80+E82</f>
        <v>0</v>
      </c>
      <c r="F79" s="114"/>
      <c r="G79" s="114"/>
      <c r="H79" s="114"/>
    </row>
    <row r="80" spans="1:8" ht="15.75">
      <c r="A80" s="113" t="s">
        <v>33</v>
      </c>
      <c r="B80" s="201">
        <v>2651</v>
      </c>
      <c r="C80" s="201">
        <v>406</v>
      </c>
      <c r="D80" s="201"/>
      <c r="E80" s="201"/>
      <c r="F80" s="201"/>
      <c r="G80" s="201"/>
      <c r="H80" s="201"/>
    </row>
    <row r="81" spans="1:8" ht="31.5">
      <c r="A81" s="113" t="s">
        <v>78</v>
      </c>
      <c r="B81" s="201"/>
      <c r="C81" s="201"/>
      <c r="D81" s="201"/>
      <c r="E81" s="201"/>
      <c r="F81" s="201"/>
      <c r="G81" s="201"/>
      <c r="H81" s="201"/>
    </row>
    <row r="82" spans="1:8" ht="31.5">
      <c r="A82" s="113" t="s">
        <v>79</v>
      </c>
      <c r="B82" s="114">
        <v>2652</v>
      </c>
      <c r="C82" s="114">
        <v>407</v>
      </c>
      <c r="D82" s="114"/>
      <c r="E82" s="114"/>
      <c r="F82" s="114"/>
      <c r="G82" s="114"/>
      <c r="H82" s="114"/>
    </row>
    <row r="83" spans="1:8" ht="15.75">
      <c r="A83" s="135"/>
      <c r="B83" s="127"/>
      <c r="C83" s="127"/>
      <c r="D83" s="127"/>
      <c r="E83" s="127"/>
      <c r="F83" s="127"/>
      <c r="G83" s="127"/>
      <c r="H83" s="127"/>
    </row>
  </sheetData>
  <mergeCells count="104"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80:B81"/>
    <mergeCell ref="C80:C81"/>
    <mergeCell ref="D80:D81"/>
    <mergeCell ref="E80:E81"/>
    <mergeCell ref="F80:F81"/>
    <mergeCell ref="G80:G81"/>
    <mergeCell ref="H80:H81"/>
    <mergeCell ref="B65:B66"/>
    <mergeCell ref="C65:C66"/>
    <mergeCell ref="D65:D66"/>
    <mergeCell ref="E65:E66"/>
    <mergeCell ref="F65:F66"/>
    <mergeCell ref="G65:G66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</hyperlink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81"/>
  <sheetViews>
    <sheetView view="pageBreakPreview" zoomScale="60" zoomScaleNormal="70" workbookViewId="0">
      <selection activeCell="D65" sqref="D65:D66"/>
    </sheetView>
  </sheetViews>
  <sheetFormatPr defaultColWidth="9.140625" defaultRowHeight="15"/>
  <cols>
    <col min="1" max="1" width="80.140625" style="136" customWidth="1"/>
    <col min="2" max="2" width="9.140625" style="125"/>
    <col min="3" max="8" width="17.85546875" style="125" customWidth="1"/>
    <col min="9" max="16384" width="9.140625" style="125"/>
  </cols>
  <sheetData>
    <row r="1" spans="1:8" ht="18.75">
      <c r="A1" s="207" t="s">
        <v>26</v>
      </c>
      <c r="B1" s="207"/>
      <c r="C1" s="207"/>
      <c r="D1" s="207"/>
      <c r="E1" s="207"/>
      <c r="F1" s="207"/>
      <c r="G1" s="207"/>
      <c r="H1" s="207"/>
    </row>
    <row r="2" spans="1:8" ht="18.75">
      <c r="A2" s="126"/>
      <c r="B2" s="127"/>
      <c r="C2" s="137" t="s">
        <v>364</v>
      </c>
      <c r="D2" s="137"/>
      <c r="E2" s="137"/>
      <c r="F2" s="127"/>
      <c r="G2" s="127"/>
      <c r="H2" s="127"/>
    </row>
    <row r="3" spans="1:8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52" t="s">
        <v>369</v>
      </c>
      <c r="F4" s="129" t="s">
        <v>346</v>
      </c>
      <c r="G4" s="129" t="s">
        <v>347</v>
      </c>
      <c r="H4" s="129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324</v>
      </c>
      <c r="B6" s="129">
        <v>1</v>
      </c>
      <c r="C6" s="129" t="s">
        <v>31</v>
      </c>
      <c r="D6" s="129" t="s">
        <v>31</v>
      </c>
      <c r="E6" s="129"/>
      <c r="F6" s="129"/>
      <c r="G6" s="129"/>
      <c r="H6" s="129"/>
    </row>
    <row r="7" spans="1:8" ht="15.75">
      <c r="A7" s="132" t="s">
        <v>325</v>
      </c>
      <c r="B7" s="129">
        <v>2</v>
      </c>
      <c r="C7" s="129" t="s">
        <v>31</v>
      </c>
      <c r="D7" s="129" t="s">
        <v>31</v>
      </c>
      <c r="E7" s="129"/>
      <c r="F7" s="129"/>
      <c r="G7" s="129"/>
      <c r="H7" s="129"/>
    </row>
    <row r="8" spans="1:8" ht="15.75">
      <c r="A8" s="128" t="s">
        <v>32</v>
      </c>
      <c r="B8" s="129">
        <v>1000</v>
      </c>
      <c r="C8" s="129"/>
      <c r="D8" s="129"/>
      <c r="E8" s="177">
        <f>E9+E12+E18+E22+E26</f>
        <v>90126.32</v>
      </c>
      <c r="F8" s="177">
        <f t="shared" ref="F8:G8" si="0">F9+F12+F18+F22+F26</f>
        <v>239000</v>
      </c>
      <c r="G8" s="177">
        <f t="shared" si="0"/>
        <v>239000</v>
      </c>
      <c r="H8" s="129"/>
    </row>
    <row r="9" spans="1:8" ht="15.75">
      <c r="A9" s="128" t="s">
        <v>33</v>
      </c>
      <c r="B9" s="201">
        <v>1100</v>
      </c>
      <c r="C9" s="201">
        <v>120</v>
      </c>
      <c r="D9" s="201"/>
      <c r="E9" s="210"/>
      <c r="F9" s="210"/>
      <c r="G9" s="210"/>
      <c r="H9" s="201"/>
    </row>
    <row r="10" spans="1:8" ht="15.75">
      <c r="A10" s="128" t="s">
        <v>34</v>
      </c>
      <c r="B10" s="201"/>
      <c r="C10" s="201"/>
      <c r="D10" s="201"/>
      <c r="E10" s="210"/>
      <c r="F10" s="210"/>
      <c r="G10" s="210"/>
      <c r="H10" s="201"/>
    </row>
    <row r="11" spans="1:8" ht="15.75">
      <c r="A11" s="128" t="s">
        <v>35</v>
      </c>
      <c r="B11" s="129">
        <v>1110</v>
      </c>
      <c r="C11" s="129"/>
      <c r="D11" s="129"/>
      <c r="E11" s="133"/>
      <c r="F11" s="133"/>
      <c r="G11" s="133"/>
      <c r="H11" s="129"/>
    </row>
    <row r="12" spans="1:8" ht="15.75">
      <c r="A12" s="128" t="s">
        <v>36</v>
      </c>
      <c r="B12" s="129">
        <v>1200</v>
      </c>
      <c r="C12" s="129">
        <v>130</v>
      </c>
      <c r="D12" s="129"/>
      <c r="E12" s="133"/>
      <c r="F12" s="133"/>
      <c r="G12" s="133"/>
      <c r="H12" s="129"/>
    </row>
    <row r="13" spans="1:8" ht="15.75">
      <c r="A13" s="128" t="s">
        <v>33</v>
      </c>
      <c r="B13" s="201">
        <v>1210</v>
      </c>
      <c r="C13" s="201">
        <v>130</v>
      </c>
      <c r="D13" s="201"/>
      <c r="E13" s="210"/>
      <c r="F13" s="210"/>
      <c r="G13" s="210"/>
      <c r="H13" s="201"/>
    </row>
    <row r="14" spans="1:8" ht="15.75">
      <c r="A14" s="128" t="s">
        <v>37</v>
      </c>
      <c r="B14" s="201"/>
      <c r="C14" s="201"/>
      <c r="D14" s="201"/>
      <c r="E14" s="210"/>
      <c r="F14" s="210"/>
      <c r="G14" s="210"/>
      <c r="H14" s="201"/>
    </row>
    <row r="15" spans="1:8" ht="31.5">
      <c r="A15" s="128" t="s">
        <v>38</v>
      </c>
      <c r="B15" s="129">
        <v>1230</v>
      </c>
      <c r="C15" s="129"/>
      <c r="D15" s="129"/>
      <c r="E15" s="129"/>
      <c r="F15" s="129"/>
      <c r="G15" s="129"/>
      <c r="H15" s="129"/>
    </row>
    <row r="16" spans="1:8" ht="31.5">
      <c r="A16" s="128" t="s">
        <v>39</v>
      </c>
      <c r="B16" s="129">
        <v>1240</v>
      </c>
      <c r="C16" s="129"/>
      <c r="D16" s="129"/>
      <c r="E16" s="129"/>
      <c r="F16" s="129"/>
      <c r="G16" s="129"/>
      <c r="H16" s="129"/>
    </row>
    <row r="17" spans="1:8" ht="15.75">
      <c r="A17" s="128"/>
      <c r="B17" s="129"/>
      <c r="C17" s="129"/>
      <c r="D17" s="129"/>
      <c r="E17" s="129"/>
      <c r="F17" s="129"/>
      <c r="G17" s="129"/>
      <c r="H17" s="129"/>
    </row>
    <row r="18" spans="1:8" ht="15.75">
      <c r="A18" s="128" t="s">
        <v>40</v>
      </c>
      <c r="B18" s="129">
        <v>1300</v>
      </c>
      <c r="C18" s="129">
        <v>140</v>
      </c>
      <c r="D18" s="129"/>
      <c r="E18" s="129"/>
      <c r="F18" s="129"/>
      <c r="G18" s="129"/>
      <c r="H18" s="129"/>
    </row>
    <row r="19" spans="1:8" ht="15.75">
      <c r="A19" s="128" t="s">
        <v>33</v>
      </c>
      <c r="B19" s="129">
        <v>1310</v>
      </c>
      <c r="C19" s="129">
        <v>140</v>
      </c>
      <c r="D19" s="129"/>
      <c r="E19" s="129"/>
      <c r="F19" s="129"/>
      <c r="G19" s="129"/>
      <c r="H19" s="129"/>
    </row>
    <row r="20" spans="1:8" ht="15.75">
      <c r="A20" s="128" t="s">
        <v>41</v>
      </c>
      <c r="B20" s="129">
        <v>1400</v>
      </c>
      <c r="C20" s="129">
        <v>150</v>
      </c>
      <c r="D20" s="129"/>
      <c r="E20" s="129"/>
      <c r="F20" s="129"/>
      <c r="G20" s="129"/>
      <c r="H20" s="129"/>
    </row>
    <row r="21" spans="1:8" ht="15.75">
      <c r="A21" s="128" t="s">
        <v>33</v>
      </c>
      <c r="B21" s="129"/>
      <c r="C21" s="129"/>
      <c r="D21" s="129"/>
      <c r="E21" s="129"/>
      <c r="F21" s="129"/>
      <c r="G21" s="129"/>
      <c r="H21" s="129"/>
    </row>
    <row r="22" spans="1:8" ht="15.75">
      <c r="A22" s="128" t="s">
        <v>42</v>
      </c>
      <c r="B22" s="129">
        <v>1500</v>
      </c>
      <c r="C22" s="129">
        <v>180</v>
      </c>
      <c r="D22" s="129"/>
      <c r="E22" s="138">
        <f>E23</f>
        <v>90126.32</v>
      </c>
      <c r="F22" s="138">
        <f t="shared" ref="F22:G22" si="1">F23</f>
        <v>239000</v>
      </c>
      <c r="G22" s="138">
        <f t="shared" si="1"/>
        <v>239000</v>
      </c>
      <c r="H22" s="129"/>
    </row>
    <row r="23" spans="1:8" ht="15.75">
      <c r="A23" s="128" t="s">
        <v>33</v>
      </c>
      <c r="B23" s="201">
        <v>1510</v>
      </c>
      <c r="C23" s="201">
        <v>180</v>
      </c>
      <c r="D23" s="201"/>
      <c r="E23" s="210">
        <f>E32</f>
        <v>90126.32</v>
      </c>
      <c r="F23" s="210">
        <f t="shared" ref="F23:G23" si="2">F32</f>
        <v>239000</v>
      </c>
      <c r="G23" s="210">
        <f t="shared" si="2"/>
        <v>239000</v>
      </c>
      <c r="H23" s="201"/>
    </row>
    <row r="24" spans="1:8" ht="15.75">
      <c r="A24" s="128" t="s">
        <v>43</v>
      </c>
      <c r="B24" s="201"/>
      <c r="C24" s="201"/>
      <c r="D24" s="201"/>
      <c r="E24" s="210"/>
      <c r="F24" s="210"/>
      <c r="G24" s="210"/>
      <c r="H24" s="201"/>
    </row>
    <row r="25" spans="1:8" ht="15.75">
      <c r="A25" s="128" t="s">
        <v>44</v>
      </c>
      <c r="B25" s="129">
        <v>1520</v>
      </c>
      <c r="C25" s="129">
        <v>180</v>
      </c>
      <c r="D25" s="129"/>
      <c r="E25" s="129"/>
      <c r="F25" s="129"/>
      <c r="G25" s="129"/>
      <c r="H25" s="129"/>
    </row>
    <row r="26" spans="1:8" ht="15.75">
      <c r="A26" s="128" t="s">
        <v>45</v>
      </c>
      <c r="B26" s="129">
        <v>1900</v>
      </c>
      <c r="C26" s="129"/>
      <c r="D26" s="129"/>
      <c r="E26" s="129"/>
      <c r="F26" s="129"/>
      <c r="G26" s="129"/>
      <c r="H26" s="129"/>
    </row>
    <row r="27" spans="1:8" ht="15.75">
      <c r="A27" s="128" t="s">
        <v>33</v>
      </c>
      <c r="B27" s="129"/>
      <c r="C27" s="129"/>
      <c r="D27" s="129"/>
      <c r="E27" s="129"/>
      <c r="F27" s="129"/>
      <c r="G27" s="129"/>
      <c r="H27" s="129"/>
    </row>
    <row r="28" spans="1:8" ht="15.75">
      <c r="A28" s="132" t="s">
        <v>46</v>
      </c>
      <c r="B28" s="129">
        <v>1980</v>
      </c>
      <c r="C28" s="129" t="s">
        <v>31</v>
      </c>
      <c r="D28" s="129"/>
      <c r="E28" s="129"/>
      <c r="F28" s="129"/>
      <c r="G28" s="129"/>
      <c r="H28" s="129"/>
    </row>
    <row r="29" spans="1:8" ht="15.75">
      <c r="A29" s="128" t="s">
        <v>47</v>
      </c>
      <c r="B29" s="201">
        <v>1981</v>
      </c>
      <c r="C29" s="201">
        <v>510</v>
      </c>
      <c r="D29" s="201"/>
      <c r="E29" s="201"/>
      <c r="F29" s="201"/>
      <c r="G29" s="201"/>
      <c r="H29" s="201" t="s">
        <v>31</v>
      </c>
    </row>
    <row r="30" spans="1:8" ht="31.5">
      <c r="A30" s="128" t="s">
        <v>48</v>
      </c>
      <c r="B30" s="201"/>
      <c r="C30" s="201"/>
      <c r="D30" s="201"/>
      <c r="E30" s="201"/>
      <c r="F30" s="201"/>
      <c r="G30" s="201"/>
      <c r="H30" s="201"/>
    </row>
    <row r="31" spans="1:8" ht="15.75">
      <c r="A31" s="128"/>
      <c r="B31" s="129"/>
      <c r="C31" s="129"/>
      <c r="D31" s="129"/>
      <c r="E31" s="129"/>
      <c r="F31" s="129"/>
      <c r="G31" s="129"/>
      <c r="H31" s="129"/>
    </row>
    <row r="32" spans="1:8" ht="15.75">
      <c r="A32" s="128" t="s">
        <v>49</v>
      </c>
      <c r="B32" s="129">
        <v>2000</v>
      </c>
      <c r="C32" s="129" t="s">
        <v>31</v>
      </c>
      <c r="D32" s="129"/>
      <c r="E32" s="177">
        <f>E33+E43+E54+E59+E62+E64</f>
        <v>90126.32</v>
      </c>
      <c r="F32" s="177">
        <f>F33+F43+F54+F59+F62+F64</f>
        <v>239000</v>
      </c>
      <c r="G32" s="177">
        <f>G33+G43+G54+G59+G62+G64</f>
        <v>239000</v>
      </c>
      <c r="H32" s="129"/>
    </row>
    <row r="33" spans="1:8" ht="15.75">
      <c r="A33" s="128" t="s">
        <v>33</v>
      </c>
      <c r="B33" s="201">
        <v>2100</v>
      </c>
      <c r="C33" s="201" t="s">
        <v>31</v>
      </c>
      <c r="D33" s="201"/>
      <c r="E33" s="202">
        <f>E35+E37+E38+E39</f>
        <v>79600</v>
      </c>
      <c r="F33" s="202">
        <f>F35+F37+F38+F39</f>
        <v>239000</v>
      </c>
      <c r="G33" s="202">
        <f>G35+G37+G38+G39</f>
        <v>239000</v>
      </c>
      <c r="H33" s="201" t="s">
        <v>31</v>
      </c>
    </row>
    <row r="34" spans="1:8" ht="15.75">
      <c r="A34" s="128" t="s">
        <v>50</v>
      </c>
      <c r="B34" s="201"/>
      <c r="C34" s="201"/>
      <c r="D34" s="201"/>
      <c r="E34" s="203"/>
      <c r="F34" s="203"/>
      <c r="G34" s="203"/>
      <c r="H34" s="201"/>
    </row>
    <row r="35" spans="1:8" ht="15.75">
      <c r="A35" s="128" t="s">
        <v>33</v>
      </c>
      <c r="B35" s="201">
        <v>2110</v>
      </c>
      <c r="C35" s="201">
        <v>111</v>
      </c>
      <c r="D35" s="201">
        <v>211</v>
      </c>
      <c r="E35" s="202">
        <v>61136.74</v>
      </c>
      <c r="F35" s="202"/>
      <c r="G35" s="202"/>
      <c r="H35" s="201" t="s">
        <v>31</v>
      </c>
    </row>
    <row r="36" spans="1:8">
      <c r="A36" s="134" t="s">
        <v>51</v>
      </c>
      <c r="B36" s="201"/>
      <c r="C36" s="201"/>
      <c r="D36" s="201"/>
      <c r="E36" s="203"/>
      <c r="F36" s="203"/>
      <c r="G36" s="203"/>
      <c r="H36" s="201"/>
    </row>
    <row r="37" spans="1:8" ht="30">
      <c r="A37" s="116" t="s">
        <v>355</v>
      </c>
      <c r="B37" s="129">
        <v>2120</v>
      </c>
      <c r="C37" s="129">
        <v>111</v>
      </c>
      <c r="D37" s="129">
        <v>266</v>
      </c>
      <c r="E37" s="133"/>
      <c r="F37" s="133"/>
      <c r="G37" s="133"/>
      <c r="H37" s="129" t="s">
        <v>31</v>
      </c>
    </row>
    <row r="38" spans="1:8" ht="30">
      <c r="A38" s="134" t="s">
        <v>53</v>
      </c>
      <c r="B38" s="129">
        <v>2130</v>
      </c>
      <c r="C38" s="129">
        <v>113</v>
      </c>
      <c r="D38" s="129">
        <v>296</v>
      </c>
      <c r="E38" s="133"/>
      <c r="F38" s="133">
        <v>239000</v>
      </c>
      <c r="G38" s="133">
        <v>239000</v>
      </c>
      <c r="H38" s="129" t="s">
        <v>31</v>
      </c>
    </row>
    <row r="39" spans="1:8" ht="31.5">
      <c r="A39" s="128" t="s">
        <v>54</v>
      </c>
      <c r="B39" s="129">
        <v>2140</v>
      </c>
      <c r="C39" s="129">
        <v>119</v>
      </c>
      <c r="D39" s="129">
        <v>213</v>
      </c>
      <c r="E39" s="133">
        <v>18463.259999999998</v>
      </c>
      <c r="F39" s="133"/>
      <c r="G39" s="133"/>
      <c r="H39" s="129" t="s">
        <v>31</v>
      </c>
    </row>
    <row r="40" spans="1:8" ht="15.75">
      <c r="A40" s="128" t="s">
        <v>33</v>
      </c>
      <c r="B40" s="201">
        <v>2141</v>
      </c>
      <c r="C40" s="201">
        <v>119</v>
      </c>
      <c r="D40" s="201"/>
      <c r="E40" s="202"/>
      <c r="F40" s="202"/>
      <c r="G40" s="202"/>
      <c r="H40" s="201" t="s">
        <v>31</v>
      </c>
    </row>
    <row r="41" spans="1:8" ht="15.75">
      <c r="A41" s="128" t="s">
        <v>55</v>
      </c>
      <c r="B41" s="201"/>
      <c r="C41" s="201"/>
      <c r="D41" s="201"/>
      <c r="E41" s="203"/>
      <c r="F41" s="203"/>
      <c r="G41" s="203"/>
      <c r="H41" s="201"/>
    </row>
    <row r="42" spans="1:8" ht="15.75">
      <c r="A42" s="128" t="s">
        <v>56</v>
      </c>
      <c r="B42" s="129">
        <v>2142</v>
      </c>
      <c r="C42" s="129">
        <v>119</v>
      </c>
      <c r="D42" s="129"/>
      <c r="E42" s="133"/>
      <c r="F42" s="133"/>
      <c r="G42" s="133"/>
      <c r="H42" s="129" t="s">
        <v>31</v>
      </c>
    </row>
    <row r="43" spans="1:8" ht="15.75">
      <c r="A43" s="134" t="s">
        <v>87</v>
      </c>
      <c r="B43" s="129">
        <v>2200</v>
      </c>
      <c r="C43" s="129">
        <v>300</v>
      </c>
      <c r="D43" s="129">
        <v>262</v>
      </c>
      <c r="E43" s="133"/>
      <c r="F43" s="133"/>
      <c r="G43" s="133"/>
      <c r="H43" s="129" t="s">
        <v>31</v>
      </c>
    </row>
    <row r="44" spans="1:8" ht="15.75">
      <c r="A44" s="128" t="s">
        <v>33</v>
      </c>
      <c r="B44" s="201">
        <v>2210</v>
      </c>
      <c r="C44" s="201">
        <v>320</v>
      </c>
      <c r="D44" s="201"/>
      <c r="E44" s="202"/>
      <c r="F44" s="202"/>
      <c r="G44" s="202"/>
      <c r="H44" s="201" t="s">
        <v>31</v>
      </c>
    </row>
    <row r="45" spans="1:8" ht="31.5">
      <c r="A45" s="128" t="s">
        <v>57</v>
      </c>
      <c r="B45" s="201"/>
      <c r="C45" s="201"/>
      <c r="D45" s="201"/>
      <c r="E45" s="203"/>
      <c r="F45" s="203"/>
      <c r="G45" s="203"/>
      <c r="H45" s="201"/>
    </row>
    <row r="46" spans="1:8" ht="15.75">
      <c r="A46" s="128" t="s">
        <v>47</v>
      </c>
      <c r="B46" s="201">
        <v>2211</v>
      </c>
      <c r="C46" s="201">
        <v>321</v>
      </c>
      <c r="D46" s="201">
        <v>262</v>
      </c>
      <c r="E46" s="202"/>
      <c r="F46" s="202"/>
      <c r="G46" s="202"/>
      <c r="H46" s="201" t="s">
        <v>31</v>
      </c>
    </row>
    <row r="47" spans="1:8" ht="31.5">
      <c r="A47" s="128" t="s">
        <v>58</v>
      </c>
      <c r="B47" s="201"/>
      <c r="C47" s="201"/>
      <c r="D47" s="201"/>
      <c r="E47" s="203"/>
      <c r="F47" s="203"/>
      <c r="G47" s="203"/>
      <c r="H47" s="201"/>
    </row>
    <row r="48" spans="1:8" ht="15.75">
      <c r="A48" s="128" t="s">
        <v>59</v>
      </c>
      <c r="B48" s="201">
        <v>2212</v>
      </c>
      <c r="C48" s="201">
        <v>323</v>
      </c>
      <c r="D48" s="201"/>
      <c r="E48" s="202"/>
      <c r="F48" s="202"/>
      <c r="G48" s="202"/>
      <c r="H48" s="201"/>
    </row>
    <row r="49" spans="1:8" ht="15.75">
      <c r="A49" s="128" t="s">
        <v>60</v>
      </c>
      <c r="B49" s="201"/>
      <c r="C49" s="201"/>
      <c r="D49" s="201"/>
      <c r="E49" s="206"/>
      <c r="F49" s="206"/>
      <c r="G49" s="206"/>
      <c r="H49" s="201"/>
    </row>
    <row r="50" spans="1:8" ht="15.75">
      <c r="A50" s="128" t="s">
        <v>61</v>
      </c>
      <c r="B50" s="201"/>
      <c r="C50" s="201"/>
      <c r="D50" s="201"/>
      <c r="E50" s="203"/>
      <c r="F50" s="203"/>
      <c r="G50" s="203"/>
      <c r="H50" s="201"/>
    </row>
    <row r="51" spans="1:8" ht="15.75">
      <c r="A51" s="128" t="s">
        <v>62</v>
      </c>
      <c r="B51" s="129">
        <v>2220</v>
      </c>
      <c r="C51" s="129">
        <v>340</v>
      </c>
      <c r="D51" s="129"/>
      <c r="E51" s="129"/>
      <c r="F51" s="129"/>
      <c r="G51" s="129"/>
      <c r="H51" s="129" t="s">
        <v>31</v>
      </c>
    </row>
    <row r="52" spans="1:8" ht="15.75">
      <c r="A52" s="128" t="s">
        <v>63</v>
      </c>
      <c r="B52" s="129">
        <v>2230</v>
      </c>
      <c r="C52" s="129">
        <v>350</v>
      </c>
      <c r="D52" s="129"/>
      <c r="E52" s="129"/>
      <c r="F52" s="129"/>
      <c r="G52" s="129"/>
      <c r="H52" s="129" t="s">
        <v>31</v>
      </c>
    </row>
    <row r="53" spans="1:8" ht="15.75">
      <c r="A53" s="128" t="s">
        <v>64</v>
      </c>
      <c r="B53" s="129">
        <v>2240</v>
      </c>
      <c r="C53" s="129">
        <v>360</v>
      </c>
      <c r="D53" s="129"/>
      <c r="E53" s="129"/>
      <c r="F53" s="129"/>
      <c r="G53" s="129"/>
      <c r="H53" s="129" t="s">
        <v>31</v>
      </c>
    </row>
    <row r="54" spans="1:8" ht="15.75">
      <c r="A54" s="128" t="s">
        <v>65</v>
      </c>
      <c r="B54" s="129">
        <v>2300</v>
      </c>
      <c r="C54" s="129">
        <v>850</v>
      </c>
      <c r="D54" s="129"/>
      <c r="E54" s="129">
        <f>E55+E57+E58</f>
        <v>0</v>
      </c>
      <c r="F54" s="129">
        <f>F55+F57+F58</f>
        <v>0</v>
      </c>
      <c r="G54" s="129">
        <f>G55+G57+G58</f>
        <v>0</v>
      </c>
      <c r="H54" s="129" t="s">
        <v>31</v>
      </c>
    </row>
    <row r="55" spans="1:8" ht="15.75">
      <c r="A55" s="128" t="s">
        <v>47</v>
      </c>
      <c r="B55" s="201">
        <v>2310</v>
      </c>
      <c r="C55" s="201">
        <v>851</v>
      </c>
      <c r="D55" s="201"/>
      <c r="E55" s="204"/>
      <c r="F55" s="204"/>
      <c r="G55" s="204"/>
      <c r="H55" s="201" t="s">
        <v>31</v>
      </c>
    </row>
    <row r="56" spans="1:8" ht="15.75">
      <c r="A56" s="128" t="s">
        <v>88</v>
      </c>
      <c r="B56" s="201"/>
      <c r="C56" s="201"/>
      <c r="D56" s="201"/>
      <c r="E56" s="205"/>
      <c r="F56" s="205"/>
      <c r="G56" s="205"/>
      <c r="H56" s="201"/>
    </row>
    <row r="57" spans="1:8" ht="15.75">
      <c r="A57" s="134" t="s">
        <v>66</v>
      </c>
      <c r="B57" s="129">
        <v>2320</v>
      </c>
      <c r="C57" s="129">
        <v>852</v>
      </c>
      <c r="D57" s="129"/>
      <c r="E57" s="129"/>
      <c r="F57" s="129"/>
      <c r="G57" s="129"/>
      <c r="H57" s="129" t="s">
        <v>31</v>
      </c>
    </row>
    <row r="58" spans="1:8" ht="15.75">
      <c r="A58" s="134" t="s">
        <v>67</v>
      </c>
      <c r="B58" s="129">
        <v>2330</v>
      </c>
      <c r="C58" s="129">
        <v>853</v>
      </c>
      <c r="D58" s="129"/>
      <c r="E58" s="129"/>
      <c r="F58" s="129"/>
      <c r="G58" s="129"/>
      <c r="H58" s="129" t="s">
        <v>31</v>
      </c>
    </row>
    <row r="59" spans="1:8" ht="15.75">
      <c r="A59" s="128" t="s">
        <v>68</v>
      </c>
      <c r="B59" s="129">
        <v>2400</v>
      </c>
      <c r="C59" s="129" t="s">
        <v>31</v>
      </c>
      <c r="D59" s="129"/>
      <c r="E59" s="129">
        <f>E60</f>
        <v>0</v>
      </c>
      <c r="F59" s="129">
        <f>F60</f>
        <v>0</v>
      </c>
      <c r="G59" s="129">
        <f>G60</f>
        <v>0</v>
      </c>
      <c r="H59" s="129" t="s">
        <v>31</v>
      </c>
    </row>
    <row r="60" spans="1:8" ht="15.75">
      <c r="A60" s="128" t="s">
        <v>47</v>
      </c>
      <c r="B60" s="201">
        <v>2410</v>
      </c>
      <c r="C60" s="201">
        <v>810</v>
      </c>
      <c r="D60" s="201"/>
      <c r="E60" s="204"/>
      <c r="F60" s="204"/>
      <c r="G60" s="204"/>
      <c r="H60" s="201" t="s">
        <v>31</v>
      </c>
    </row>
    <row r="61" spans="1:8" ht="47.25">
      <c r="A61" s="128" t="s">
        <v>69</v>
      </c>
      <c r="B61" s="201"/>
      <c r="C61" s="201"/>
      <c r="D61" s="201"/>
      <c r="E61" s="205"/>
      <c r="F61" s="205"/>
      <c r="G61" s="205"/>
      <c r="H61" s="201"/>
    </row>
    <row r="62" spans="1:8" ht="15.75">
      <c r="A62" s="128" t="s">
        <v>70</v>
      </c>
      <c r="B62" s="129">
        <v>2500</v>
      </c>
      <c r="C62" s="129" t="s">
        <v>31</v>
      </c>
      <c r="D62" s="129"/>
      <c r="E62" s="129">
        <f>E63</f>
        <v>0</v>
      </c>
      <c r="F62" s="129">
        <f>F63</f>
        <v>0</v>
      </c>
      <c r="G62" s="129">
        <f>G63</f>
        <v>0</v>
      </c>
      <c r="H62" s="129" t="s">
        <v>31</v>
      </c>
    </row>
    <row r="63" spans="1:8" ht="31.5">
      <c r="A63" s="128" t="s">
        <v>71</v>
      </c>
      <c r="B63" s="129">
        <v>2520</v>
      </c>
      <c r="C63" s="129">
        <v>831</v>
      </c>
      <c r="D63" s="129"/>
      <c r="E63" s="129"/>
      <c r="F63" s="129"/>
      <c r="G63" s="129"/>
      <c r="H63" s="129" t="s">
        <v>31</v>
      </c>
    </row>
    <row r="64" spans="1:8" ht="15.75">
      <c r="A64" s="132" t="s">
        <v>72</v>
      </c>
      <c r="B64" s="129">
        <v>2600</v>
      </c>
      <c r="C64" s="129" t="s">
        <v>31</v>
      </c>
      <c r="D64" s="129"/>
      <c r="E64" s="133">
        <f>E65+E67+E68+E69</f>
        <v>10526.32</v>
      </c>
      <c r="F64" s="160">
        <f t="shared" ref="F64:G64" si="3">F65+F67+F68+F69</f>
        <v>0</v>
      </c>
      <c r="G64" s="160">
        <f t="shared" si="3"/>
        <v>0</v>
      </c>
      <c r="H64" s="129"/>
    </row>
    <row r="65" spans="1:8" ht="15.75">
      <c r="A65" s="128" t="s">
        <v>33</v>
      </c>
      <c r="B65" s="201">
        <v>2610</v>
      </c>
      <c r="C65" s="201">
        <v>241</v>
      </c>
      <c r="D65" s="201"/>
      <c r="E65" s="202"/>
      <c r="F65" s="202"/>
      <c r="G65" s="202"/>
      <c r="H65" s="201"/>
    </row>
    <row r="66" spans="1:8" ht="15.75">
      <c r="A66" s="128" t="s">
        <v>73</v>
      </c>
      <c r="B66" s="201"/>
      <c r="C66" s="201"/>
      <c r="D66" s="201"/>
      <c r="E66" s="203"/>
      <c r="F66" s="203"/>
      <c r="G66" s="203"/>
      <c r="H66" s="201"/>
    </row>
    <row r="67" spans="1:8" ht="31.5">
      <c r="A67" s="128" t="s">
        <v>74</v>
      </c>
      <c r="B67" s="129">
        <v>2620</v>
      </c>
      <c r="C67" s="129">
        <v>242</v>
      </c>
      <c r="D67" s="129"/>
      <c r="E67" s="133"/>
      <c r="F67" s="133"/>
      <c r="G67" s="133"/>
      <c r="H67" s="129"/>
    </row>
    <row r="68" spans="1:8" ht="31.5">
      <c r="A68" s="128" t="s">
        <v>75</v>
      </c>
      <c r="B68" s="129">
        <v>2630</v>
      </c>
      <c r="C68" s="129">
        <v>243</v>
      </c>
      <c r="D68" s="129"/>
      <c r="E68" s="133"/>
      <c r="F68" s="133"/>
      <c r="G68" s="133"/>
      <c r="H68" s="129"/>
    </row>
    <row r="69" spans="1:8" ht="15.75">
      <c r="A69" s="128" t="s">
        <v>76</v>
      </c>
      <c r="B69" s="129">
        <v>2640</v>
      </c>
      <c r="C69" s="129"/>
      <c r="D69" s="129"/>
      <c r="E69" s="133">
        <f>E70+E76</f>
        <v>10526.32</v>
      </c>
      <c r="F69" s="160">
        <f t="shared" ref="F69:G69" si="4">F70+F76</f>
        <v>0</v>
      </c>
      <c r="G69" s="160">
        <f t="shared" si="4"/>
        <v>0</v>
      </c>
      <c r="H69" s="129"/>
    </row>
    <row r="70" spans="1:8" ht="15.75">
      <c r="A70" s="128" t="s">
        <v>47</v>
      </c>
      <c r="B70" s="129"/>
      <c r="C70" s="129"/>
      <c r="D70" s="129"/>
      <c r="E70" s="138">
        <f>SUM(E71:E75)</f>
        <v>10526.32</v>
      </c>
      <c r="F70" s="162">
        <f t="shared" ref="F70:G70" si="5">SUM(F71:F75)</f>
        <v>0</v>
      </c>
      <c r="G70" s="162">
        <f t="shared" si="5"/>
        <v>0</v>
      </c>
      <c r="H70" s="129"/>
    </row>
    <row r="71" spans="1:8" ht="15.75">
      <c r="A71" s="128" t="s">
        <v>326</v>
      </c>
      <c r="B71" s="129"/>
      <c r="C71" s="129"/>
      <c r="D71" s="129">
        <v>223</v>
      </c>
      <c r="E71" s="139"/>
      <c r="F71" s="139"/>
      <c r="G71" s="139"/>
      <c r="H71" s="129"/>
    </row>
    <row r="72" spans="1:8" ht="15.75">
      <c r="A72" s="128" t="s">
        <v>327</v>
      </c>
      <c r="B72" s="129"/>
      <c r="C72" s="129"/>
      <c r="D72" s="129">
        <v>225</v>
      </c>
      <c r="E72" s="129"/>
      <c r="F72" s="129"/>
      <c r="G72" s="129"/>
      <c r="H72" s="129"/>
    </row>
    <row r="73" spans="1:8" ht="15.75">
      <c r="A73" s="128" t="s">
        <v>328</v>
      </c>
      <c r="B73" s="129"/>
      <c r="C73" s="129"/>
      <c r="D73" s="129">
        <v>226</v>
      </c>
      <c r="E73" s="129"/>
      <c r="F73" s="129"/>
      <c r="G73" s="129"/>
      <c r="H73" s="129"/>
    </row>
    <row r="74" spans="1:8" ht="15.75">
      <c r="A74" s="161" t="s">
        <v>383</v>
      </c>
      <c r="B74" s="159"/>
      <c r="C74" s="159"/>
      <c r="D74" s="159">
        <v>228</v>
      </c>
      <c r="E74" s="159">
        <v>10526.32</v>
      </c>
      <c r="F74" s="159"/>
      <c r="G74" s="159"/>
      <c r="H74" s="159"/>
    </row>
    <row r="75" spans="1:8" ht="15.75">
      <c r="A75" s="128" t="s">
        <v>329</v>
      </c>
      <c r="B75" s="129"/>
      <c r="C75" s="129"/>
      <c r="D75" s="129">
        <v>312</v>
      </c>
      <c r="E75" s="138"/>
      <c r="F75" s="138"/>
      <c r="G75" s="138"/>
      <c r="H75" s="129"/>
    </row>
    <row r="76" spans="1:8" ht="15.75">
      <c r="A76" s="128" t="s">
        <v>330</v>
      </c>
      <c r="B76" s="129"/>
      <c r="C76" s="129"/>
      <c r="D76" s="129"/>
      <c r="E76" s="129"/>
      <c r="F76" s="129"/>
      <c r="G76" s="129"/>
      <c r="H76" s="129"/>
    </row>
    <row r="77" spans="1:8" ht="31.5">
      <c r="A77" s="128" t="s">
        <v>77</v>
      </c>
      <c r="B77" s="129">
        <v>2650</v>
      </c>
      <c r="C77" s="129">
        <v>400</v>
      </c>
      <c r="D77" s="129"/>
      <c r="E77" s="129">
        <f>E78+E80</f>
        <v>0</v>
      </c>
      <c r="F77" s="129"/>
      <c r="G77" s="129"/>
      <c r="H77" s="129"/>
    </row>
    <row r="78" spans="1:8" ht="15.75">
      <c r="A78" s="128" t="s">
        <v>33</v>
      </c>
      <c r="B78" s="201">
        <v>2651</v>
      </c>
      <c r="C78" s="201">
        <v>406</v>
      </c>
      <c r="D78" s="201"/>
      <c r="E78" s="201"/>
      <c r="F78" s="201"/>
      <c r="G78" s="201"/>
      <c r="H78" s="201"/>
    </row>
    <row r="79" spans="1:8" ht="31.5">
      <c r="A79" s="128" t="s">
        <v>78</v>
      </c>
      <c r="B79" s="201"/>
      <c r="C79" s="201"/>
      <c r="D79" s="201"/>
      <c r="E79" s="201"/>
      <c r="F79" s="201"/>
      <c r="G79" s="201"/>
      <c r="H79" s="201"/>
    </row>
    <row r="80" spans="1:8" ht="31.5">
      <c r="A80" s="128" t="s">
        <v>79</v>
      </c>
      <c r="B80" s="129">
        <v>2652</v>
      </c>
      <c r="C80" s="129">
        <v>407</v>
      </c>
      <c r="D80" s="129"/>
      <c r="E80" s="129"/>
      <c r="F80" s="129"/>
      <c r="G80" s="129"/>
      <c r="H80" s="129"/>
    </row>
    <row r="81" spans="1:8" ht="15.75">
      <c r="A81" s="135"/>
      <c r="B81" s="127"/>
      <c r="C81" s="127"/>
      <c r="D81" s="127"/>
      <c r="E81" s="127"/>
      <c r="F81" s="127"/>
      <c r="G81" s="127"/>
      <c r="H81" s="127"/>
    </row>
  </sheetData>
  <mergeCells count="104"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78:B79"/>
    <mergeCell ref="C78:C79"/>
    <mergeCell ref="D78:D79"/>
    <mergeCell ref="E78:E79"/>
    <mergeCell ref="F78:F79"/>
    <mergeCell ref="G78:G79"/>
    <mergeCell ref="H78:H79"/>
    <mergeCell ref="B65:B66"/>
    <mergeCell ref="C65:C66"/>
    <mergeCell ref="D65:D66"/>
    <mergeCell ref="E65:E66"/>
    <mergeCell ref="F65:F66"/>
    <mergeCell ref="G65:G66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</hyperlink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89"/>
  <sheetViews>
    <sheetView view="pageBreakPreview" zoomScale="60" zoomScaleNormal="70" workbookViewId="0">
      <selection activeCell="E72" sqref="E72:E77"/>
    </sheetView>
  </sheetViews>
  <sheetFormatPr defaultColWidth="9.140625" defaultRowHeight="15"/>
  <cols>
    <col min="1" max="1" width="87.42578125" style="136" customWidth="1"/>
    <col min="2" max="2" width="9.140625" style="125"/>
    <col min="3" max="8" width="17.85546875" style="125" customWidth="1"/>
    <col min="9" max="9" width="9.140625" style="125"/>
    <col min="10" max="11" width="13.140625" style="125" bestFit="1" customWidth="1"/>
    <col min="12" max="16384" width="9.140625" style="125"/>
  </cols>
  <sheetData>
    <row r="1" spans="1:8" ht="18.75">
      <c r="A1" s="207" t="s">
        <v>26</v>
      </c>
      <c r="B1" s="207"/>
      <c r="C1" s="207"/>
      <c r="D1" s="207"/>
      <c r="E1" s="207"/>
      <c r="F1" s="207"/>
      <c r="G1" s="207"/>
      <c r="H1" s="207"/>
    </row>
    <row r="2" spans="1:8" ht="18.75">
      <c r="A2" s="126"/>
      <c r="B2" s="127"/>
      <c r="C2" s="137" t="s">
        <v>361</v>
      </c>
      <c r="D2" s="137"/>
      <c r="E2" s="137"/>
      <c r="F2" s="127"/>
      <c r="G2" s="127"/>
      <c r="H2" s="127"/>
    </row>
    <row r="3" spans="1:8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52" t="s">
        <v>369</v>
      </c>
      <c r="F4" s="129" t="s">
        <v>346</v>
      </c>
      <c r="G4" s="129" t="s">
        <v>347</v>
      </c>
      <c r="H4" s="129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324</v>
      </c>
      <c r="B6" s="129">
        <v>1</v>
      </c>
      <c r="C6" s="129" t="s">
        <v>31</v>
      </c>
      <c r="D6" s="129" t="s">
        <v>31</v>
      </c>
      <c r="E6" s="129"/>
      <c r="F6" s="129"/>
      <c r="G6" s="129"/>
      <c r="H6" s="129"/>
    </row>
    <row r="7" spans="1:8" ht="15.75">
      <c r="A7" s="132" t="s">
        <v>325</v>
      </c>
      <c r="B7" s="129">
        <v>2</v>
      </c>
      <c r="C7" s="129" t="s">
        <v>31</v>
      </c>
      <c r="D7" s="129" t="s">
        <v>31</v>
      </c>
      <c r="E7" s="129"/>
      <c r="F7" s="129"/>
      <c r="G7" s="129"/>
      <c r="H7" s="129"/>
    </row>
    <row r="8" spans="1:8" ht="15.75">
      <c r="A8" s="128" t="s">
        <v>32</v>
      </c>
      <c r="B8" s="129">
        <v>1000</v>
      </c>
      <c r="C8" s="129"/>
      <c r="D8" s="129"/>
      <c r="E8" s="177">
        <f>E22</f>
        <v>712914.29999999993</v>
      </c>
      <c r="F8" s="177">
        <f t="shared" ref="F8:G8" si="0">F22</f>
        <v>261200</v>
      </c>
      <c r="G8" s="177">
        <f t="shared" si="0"/>
        <v>261200</v>
      </c>
      <c r="H8" s="129"/>
    </row>
    <row r="9" spans="1:8" ht="15.75">
      <c r="A9" s="128" t="s">
        <v>33</v>
      </c>
      <c r="B9" s="201">
        <v>1100</v>
      </c>
      <c r="C9" s="201">
        <v>120</v>
      </c>
      <c r="D9" s="201"/>
      <c r="E9" s="210"/>
      <c r="F9" s="210"/>
      <c r="G9" s="210"/>
      <c r="H9" s="201"/>
    </row>
    <row r="10" spans="1:8" ht="15.75">
      <c r="A10" s="128" t="s">
        <v>34</v>
      </c>
      <c r="B10" s="201"/>
      <c r="C10" s="201"/>
      <c r="D10" s="201"/>
      <c r="E10" s="210"/>
      <c r="F10" s="210"/>
      <c r="G10" s="210"/>
      <c r="H10" s="201"/>
    </row>
    <row r="11" spans="1:8" ht="15.75">
      <c r="A11" s="128" t="s">
        <v>35</v>
      </c>
      <c r="B11" s="129">
        <v>1110</v>
      </c>
      <c r="C11" s="129"/>
      <c r="D11" s="129"/>
      <c r="E11" s="133"/>
      <c r="F11" s="133"/>
      <c r="G11" s="133"/>
      <c r="H11" s="129"/>
    </row>
    <row r="12" spans="1:8" ht="15.75">
      <c r="A12" s="128" t="s">
        <v>36</v>
      </c>
      <c r="B12" s="129">
        <v>1200</v>
      </c>
      <c r="C12" s="129">
        <v>130</v>
      </c>
      <c r="D12" s="129"/>
      <c r="E12" s="133"/>
      <c r="F12" s="133"/>
      <c r="G12" s="133"/>
      <c r="H12" s="129"/>
    </row>
    <row r="13" spans="1:8" ht="15.75">
      <c r="A13" s="128" t="s">
        <v>33</v>
      </c>
      <c r="B13" s="201">
        <v>1210</v>
      </c>
      <c r="C13" s="201">
        <v>130</v>
      </c>
      <c r="D13" s="201"/>
      <c r="E13" s="210"/>
      <c r="F13" s="210"/>
      <c r="G13" s="210"/>
      <c r="H13" s="201"/>
    </row>
    <row r="14" spans="1:8" ht="15.75">
      <c r="A14" s="128" t="s">
        <v>37</v>
      </c>
      <c r="B14" s="201"/>
      <c r="C14" s="201"/>
      <c r="D14" s="201"/>
      <c r="E14" s="210"/>
      <c r="F14" s="210"/>
      <c r="G14" s="210"/>
      <c r="H14" s="201"/>
    </row>
    <row r="15" spans="1:8" ht="31.5">
      <c r="A15" s="128" t="s">
        <v>38</v>
      </c>
      <c r="B15" s="129">
        <v>1230</v>
      </c>
      <c r="C15" s="129"/>
      <c r="D15" s="129"/>
      <c r="E15" s="129"/>
      <c r="F15" s="129"/>
      <c r="G15" s="129"/>
      <c r="H15" s="129"/>
    </row>
    <row r="16" spans="1:8" ht="31.5">
      <c r="A16" s="128" t="s">
        <v>39</v>
      </c>
      <c r="B16" s="129">
        <v>1240</v>
      </c>
      <c r="C16" s="129"/>
      <c r="D16" s="129"/>
      <c r="E16" s="129"/>
      <c r="F16" s="129"/>
      <c r="G16" s="129"/>
      <c r="H16" s="129"/>
    </row>
    <row r="17" spans="1:8" ht="15.75">
      <c r="A17" s="128"/>
      <c r="B17" s="129"/>
      <c r="C17" s="129"/>
      <c r="D17" s="129"/>
      <c r="E17" s="129"/>
      <c r="F17" s="129"/>
      <c r="G17" s="129"/>
      <c r="H17" s="129"/>
    </row>
    <row r="18" spans="1:8" ht="15.75">
      <c r="A18" s="128" t="s">
        <v>40</v>
      </c>
      <c r="B18" s="129">
        <v>1300</v>
      </c>
      <c r="C18" s="129">
        <v>140</v>
      </c>
      <c r="D18" s="129"/>
      <c r="E18" s="129"/>
      <c r="F18" s="129"/>
      <c r="G18" s="129"/>
      <c r="H18" s="129"/>
    </row>
    <row r="19" spans="1:8" ht="15.75">
      <c r="A19" s="128" t="s">
        <v>33</v>
      </c>
      <c r="B19" s="129">
        <v>1310</v>
      </c>
      <c r="C19" s="129">
        <v>140</v>
      </c>
      <c r="D19" s="129"/>
      <c r="E19" s="129"/>
      <c r="F19" s="129"/>
      <c r="G19" s="129"/>
      <c r="H19" s="129"/>
    </row>
    <row r="20" spans="1:8" ht="15.75">
      <c r="A20" s="128" t="s">
        <v>41</v>
      </c>
      <c r="B20" s="129">
        <v>1400</v>
      </c>
      <c r="C20" s="129">
        <v>150</v>
      </c>
      <c r="D20" s="129"/>
      <c r="E20" s="129"/>
      <c r="F20" s="129"/>
      <c r="G20" s="129"/>
      <c r="H20" s="129"/>
    </row>
    <row r="21" spans="1:8" ht="15.75">
      <c r="A21" s="128" t="s">
        <v>33</v>
      </c>
      <c r="B21" s="129"/>
      <c r="C21" s="129"/>
      <c r="D21" s="129"/>
      <c r="E21" s="129"/>
      <c r="F21" s="129"/>
      <c r="G21" s="129"/>
      <c r="H21" s="129"/>
    </row>
    <row r="22" spans="1:8" ht="15.75">
      <c r="A22" s="128" t="s">
        <v>42</v>
      </c>
      <c r="B22" s="129">
        <v>1500</v>
      </c>
      <c r="C22" s="129">
        <v>180</v>
      </c>
      <c r="D22" s="129"/>
      <c r="E22" s="160">
        <f>E23</f>
        <v>712914.29999999993</v>
      </c>
      <c r="F22" s="160">
        <f t="shared" ref="F22:G22" si="1">F23</f>
        <v>261200</v>
      </c>
      <c r="G22" s="160">
        <f t="shared" si="1"/>
        <v>261200</v>
      </c>
      <c r="H22" s="129"/>
    </row>
    <row r="23" spans="1:8" ht="15.75">
      <c r="A23" s="128" t="s">
        <v>33</v>
      </c>
      <c r="B23" s="201">
        <v>1510</v>
      </c>
      <c r="C23" s="201">
        <v>180</v>
      </c>
      <c r="D23" s="201"/>
      <c r="E23" s="210">
        <f>E32</f>
        <v>712914.29999999993</v>
      </c>
      <c r="F23" s="210">
        <f t="shared" ref="F23:G23" si="2">F32</f>
        <v>261200</v>
      </c>
      <c r="G23" s="210">
        <f t="shared" si="2"/>
        <v>261200</v>
      </c>
      <c r="H23" s="201"/>
    </row>
    <row r="24" spans="1:8" ht="15.75">
      <c r="A24" s="128" t="s">
        <v>43</v>
      </c>
      <c r="B24" s="201"/>
      <c r="C24" s="201"/>
      <c r="D24" s="201"/>
      <c r="E24" s="210"/>
      <c r="F24" s="210"/>
      <c r="G24" s="210"/>
      <c r="H24" s="201"/>
    </row>
    <row r="25" spans="1:8" ht="15.75">
      <c r="A25" s="128" t="s">
        <v>44</v>
      </c>
      <c r="B25" s="129">
        <v>1520</v>
      </c>
      <c r="C25" s="129">
        <v>180</v>
      </c>
      <c r="D25" s="129"/>
      <c r="E25" s="129"/>
      <c r="F25" s="129"/>
      <c r="G25" s="129"/>
      <c r="H25" s="129"/>
    </row>
    <row r="26" spans="1:8" ht="15.75">
      <c r="A26" s="128" t="s">
        <v>45</v>
      </c>
      <c r="B26" s="129">
        <v>1900</v>
      </c>
      <c r="C26" s="129"/>
      <c r="D26" s="129"/>
      <c r="E26" s="129"/>
      <c r="F26" s="129"/>
      <c r="G26" s="129"/>
      <c r="H26" s="129"/>
    </row>
    <row r="27" spans="1:8" ht="15.75">
      <c r="A27" s="128" t="s">
        <v>33</v>
      </c>
      <c r="B27" s="129"/>
      <c r="C27" s="129"/>
      <c r="D27" s="129"/>
      <c r="E27" s="129"/>
      <c r="F27" s="129"/>
      <c r="G27" s="129"/>
      <c r="H27" s="129"/>
    </row>
    <row r="28" spans="1:8" ht="15.75">
      <c r="A28" s="132" t="s">
        <v>46</v>
      </c>
      <c r="B28" s="129">
        <v>1980</v>
      </c>
      <c r="C28" s="129" t="s">
        <v>31</v>
      </c>
      <c r="D28" s="129"/>
      <c r="E28" s="129"/>
      <c r="F28" s="129"/>
      <c r="G28" s="129"/>
      <c r="H28" s="129"/>
    </row>
    <row r="29" spans="1:8" ht="15.75">
      <c r="A29" s="128" t="s">
        <v>47</v>
      </c>
      <c r="B29" s="201">
        <v>1981</v>
      </c>
      <c r="C29" s="201">
        <v>510</v>
      </c>
      <c r="D29" s="201"/>
      <c r="E29" s="201"/>
      <c r="F29" s="201"/>
      <c r="G29" s="201"/>
      <c r="H29" s="201" t="s">
        <v>31</v>
      </c>
    </row>
    <row r="30" spans="1:8" ht="31.5">
      <c r="A30" s="128" t="s">
        <v>48</v>
      </c>
      <c r="B30" s="201"/>
      <c r="C30" s="201"/>
      <c r="D30" s="201"/>
      <c r="E30" s="201"/>
      <c r="F30" s="201"/>
      <c r="G30" s="201"/>
      <c r="H30" s="201"/>
    </row>
    <row r="31" spans="1:8" ht="15.75">
      <c r="A31" s="128"/>
      <c r="B31" s="129"/>
      <c r="C31" s="129"/>
      <c r="D31" s="129"/>
      <c r="E31" s="129"/>
      <c r="F31" s="129"/>
      <c r="G31" s="129"/>
      <c r="H31" s="129"/>
    </row>
    <row r="32" spans="1:8" ht="15.75">
      <c r="A32" s="128" t="s">
        <v>49</v>
      </c>
      <c r="B32" s="129">
        <v>2000</v>
      </c>
      <c r="C32" s="129" t="s">
        <v>31</v>
      </c>
      <c r="D32" s="129"/>
      <c r="E32" s="177">
        <f>E33+E43+E54+E59+E62+E64</f>
        <v>712914.29999999993</v>
      </c>
      <c r="F32" s="177">
        <f>F33+F43+F54+F59+F62+F64</f>
        <v>261200</v>
      </c>
      <c r="G32" s="177">
        <f>G33+G43+G54+G59+G62+G64</f>
        <v>261200</v>
      </c>
      <c r="H32" s="129"/>
    </row>
    <row r="33" spans="1:12" ht="15.75">
      <c r="A33" s="128" t="s">
        <v>33</v>
      </c>
      <c r="B33" s="201">
        <v>2100</v>
      </c>
      <c r="C33" s="201" t="s">
        <v>31</v>
      </c>
      <c r="D33" s="201"/>
      <c r="E33" s="202">
        <f>E35+E37+E38+E39</f>
        <v>0</v>
      </c>
      <c r="F33" s="202">
        <f>F35+F37+F38+F39</f>
        <v>0</v>
      </c>
      <c r="G33" s="202">
        <f>G35+G37+G38+G39</f>
        <v>0</v>
      </c>
      <c r="H33" s="201" t="s">
        <v>31</v>
      </c>
    </row>
    <row r="34" spans="1:12" ht="15.75">
      <c r="A34" s="128" t="s">
        <v>50</v>
      </c>
      <c r="B34" s="201"/>
      <c r="C34" s="201"/>
      <c r="D34" s="201"/>
      <c r="E34" s="203"/>
      <c r="F34" s="203"/>
      <c r="G34" s="203"/>
      <c r="H34" s="201"/>
    </row>
    <row r="35" spans="1:12" ht="15.75">
      <c r="A35" s="128" t="s">
        <v>33</v>
      </c>
      <c r="B35" s="201">
        <v>2110</v>
      </c>
      <c r="C35" s="201">
        <v>111</v>
      </c>
      <c r="D35" s="201">
        <v>211</v>
      </c>
      <c r="E35" s="202"/>
      <c r="F35" s="202"/>
      <c r="G35" s="202"/>
      <c r="H35" s="201" t="s">
        <v>31</v>
      </c>
    </row>
    <row r="36" spans="1:12">
      <c r="A36" s="134" t="s">
        <v>51</v>
      </c>
      <c r="B36" s="201"/>
      <c r="C36" s="201"/>
      <c r="D36" s="201"/>
      <c r="E36" s="203"/>
      <c r="F36" s="203"/>
      <c r="G36" s="203"/>
      <c r="H36" s="201"/>
    </row>
    <row r="37" spans="1:12" ht="30">
      <c r="A37" s="116" t="s">
        <v>355</v>
      </c>
      <c r="B37" s="129">
        <v>2120</v>
      </c>
      <c r="C37" s="129">
        <v>111</v>
      </c>
      <c r="D37" s="129">
        <v>266</v>
      </c>
      <c r="E37" s="133"/>
      <c r="F37" s="133"/>
      <c r="G37" s="133"/>
      <c r="H37" s="129" t="s">
        <v>31</v>
      </c>
    </row>
    <row r="38" spans="1:12" ht="30">
      <c r="A38" s="134" t="s">
        <v>53</v>
      </c>
      <c r="B38" s="129">
        <v>2130</v>
      </c>
      <c r="C38" s="129">
        <v>113</v>
      </c>
      <c r="D38" s="129"/>
      <c r="E38" s="133"/>
      <c r="F38" s="133"/>
      <c r="G38" s="133"/>
      <c r="H38" s="129" t="s">
        <v>31</v>
      </c>
    </row>
    <row r="39" spans="1:12" ht="31.5">
      <c r="A39" s="128" t="s">
        <v>54</v>
      </c>
      <c r="B39" s="129">
        <v>2140</v>
      </c>
      <c r="C39" s="129">
        <v>119</v>
      </c>
      <c r="D39" s="129">
        <v>213</v>
      </c>
      <c r="E39" s="133"/>
      <c r="F39" s="133"/>
      <c r="G39" s="133"/>
      <c r="H39" s="129" t="s">
        <v>31</v>
      </c>
    </row>
    <row r="40" spans="1:12" ht="15.75">
      <c r="A40" s="128" t="s">
        <v>33</v>
      </c>
      <c r="B40" s="201">
        <v>2141</v>
      </c>
      <c r="C40" s="201">
        <v>119</v>
      </c>
      <c r="D40" s="201"/>
      <c r="E40" s="202"/>
      <c r="F40" s="202"/>
      <c r="G40" s="202"/>
      <c r="H40" s="201" t="s">
        <v>31</v>
      </c>
    </row>
    <row r="41" spans="1:12" ht="15.75">
      <c r="A41" s="128" t="s">
        <v>55</v>
      </c>
      <c r="B41" s="201"/>
      <c r="C41" s="201"/>
      <c r="D41" s="201"/>
      <c r="E41" s="203"/>
      <c r="F41" s="203"/>
      <c r="G41" s="203"/>
      <c r="H41" s="201"/>
    </row>
    <row r="42" spans="1:12" ht="15.75">
      <c r="A42" s="128" t="s">
        <v>56</v>
      </c>
      <c r="B42" s="129">
        <v>2142</v>
      </c>
      <c r="C42" s="129">
        <v>119</v>
      </c>
      <c r="D42" s="129"/>
      <c r="E42" s="133"/>
      <c r="F42" s="133"/>
      <c r="G42" s="133"/>
      <c r="H42" s="129" t="s">
        <v>31</v>
      </c>
      <c r="J42" s="156"/>
      <c r="K42" s="156"/>
      <c r="L42" s="156"/>
    </row>
    <row r="43" spans="1:12" ht="15.75">
      <c r="A43" s="134" t="s">
        <v>87</v>
      </c>
      <c r="B43" s="129">
        <v>2200</v>
      </c>
      <c r="C43" s="129">
        <v>300</v>
      </c>
      <c r="D43" s="129">
        <v>262</v>
      </c>
      <c r="E43" s="133">
        <f>E44+E51+E52+E53</f>
        <v>158282.1</v>
      </c>
      <c r="F43" s="133">
        <f>F44+F51+F52+F53</f>
        <v>104200</v>
      </c>
      <c r="G43" s="133">
        <f>G44+G51+G52+G53</f>
        <v>104200</v>
      </c>
      <c r="H43" s="129" t="s">
        <v>31</v>
      </c>
    </row>
    <row r="44" spans="1:12" ht="15.75">
      <c r="A44" s="128" t="s">
        <v>33</v>
      </c>
      <c r="B44" s="201">
        <v>2210</v>
      </c>
      <c r="C44" s="201">
        <v>320</v>
      </c>
      <c r="D44" s="201"/>
      <c r="E44" s="202">
        <f>E46+E48</f>
        <v>158282.1</v>
      </c>
      <c r="F44" s="202">
        <f t="shared" ref="F44:G44" si="3">F46+F48</f>
        <v>104200</v>
      </c>
      <c r="G44" s="202">
        <f t="shared" si="3"/>
        <v>104200</v>
      </c>
      <c r="H44" s="201" t="s">
        <v>31</v>
      </c>
    </row>
    <row r="45" spans="1:12" ht="31.5">
      <c r="A45" s="128" t="s">
        <v>57</v>
      </c>
      <c r="B45" s="201"/>
      <c r="C45" s="201"/>
      <c r="D45" s="201"/>
      <c r="E45" s="203"/>
      <c r="F45" s="203"/>
      <c r="G45" s="203"/>
      <c r="H45" s="201"/>
    </row>
    <row r="46" spans="1:12" ht="15.75">
      <c r="A46" s="128" t="s">
        <v>47</v>
      </c>
      <c r="B46" s="201">
        <v>2211</v>
      </c>
      <c r="C46" s="201">
        <v>321</v>
      </c>
      <c r="D46" s="201">
        <v>262</v>
      </c>
      <c r="E46" s="202">
        <v>112659.6</v>
      </c>
      <c r="F46" s="202">
        <v>85100</v>
      </c>
      <c r="G46" s="202">
        <v>85100</v>
      </c>
      <c r="H46" s="201" t="s">
        <v>31</v>
      </c>
    </row>
    <row r="47" spans="1:12" ht="31.5">
      <c r="A47" s="141" t="s">
        <v>58</v>
      </c>
      <c r="B47" s="201"/>
      <c r="C47" s="201"/>
      <c r="D47" s="201"/>
      <c r="E47" s="203"/>
      <c r="F47" s="203"/>
      <c r="G47" s="203"/>
      <c r="H47" s="201"/>
    </row>
    <row r="48" spans="1:12" ht="15.75">
      <c r="A48" s="145" t="s">
        <v>59</v>
      </c>
      <c r="B48" s="214">
        <v>2212</v>
      </c>
      <c r="C48" s="201">
        <v>323</v>
      </c>
      <c r="D48" s="201">
        <v>263</v>
      </c>
      <c r="E48" s="202">
        <v>45622.5</v>
      </c>
      <c r="F48" s="202">
        <v>19100</v>
      </c>
      <c r="G48" s="202">
        <v>19100</v>
      </c>
      <c r="H48" s="201"/>
    </row>
    <row r="49" spans="1:8" ht="15.75">
      <c r="A49" s="143" t="s">
        <v>60</v>
      </c>
      <c r="B49" s="214"/>
      <c r="C49" s="201"/>
      <c r="D49" s="201"/>
      <c r="E49" s="206"/>
      <c r="F49" s="206"/>
      <c r="G49" s="206"/>
      <c r="H49" s="201"/>
    </row>
    <row r="50" spans="1:8" ht="16.5" thickBot="1">
      <c r="A50" s="144" t="s">
        <v>61</v>
      </c>
      <c r="B50" s="214"/>
      <c r="C50" s="201"/>
      <c r="D50" s="201"/>
      <c r="E50" s="203"/>
      <c r="F50" s="203"/>
      <c r="G50" s="203"/>
      <c r="H50" s="201"/>
    </row>
    <row r="51" spans="1:8" ht="15.75">
      <c r="A51" s="142" t="s">
        <v>62</v>
      </c>
      <c r="B51" s="129">
        <v>2220</v>
      </c>
      <c r="C51" s="129">
        <v>340</v>
      </c>
      <c r="D51" s="129"/>
      <c r="E51" s="129"/>
      <c r="F51" s="129"/>
      <c r="G51" s="129"/>
      <c r="H51" s="129" t="s">
        <v>31</v>
      </c>
    </row>
    <row r="52" spans="1:8" ht="15.75">
      <c r="A52" s="128" t="s">
        <v>63</v>
      </c>
      <c r="B52" s="129">
        <v>2230</v>
      </c>
      <c r="C52" s="129">
        <v>350</v>
      </c>
      <c r="D52" s="129"/>
      <c r="E52" s="129"/>
      <c r="F52" s="129"/>
      <c r="G52" s="129"/>
      <c r="H52" s="129" t="s">
        <v>31</v>
      </c>
    </row>
    <row r="53" spans="1:8" ht="15.75">
      <c r="A53" s="128" t="s">
        <v>64</v>
      </c>
      <c r="B53" s="129">
        <v>2240</v>
      </c>
      <c r="C53" s="129">
        <v>360</v>
      </c>
      <c r="D53" s="129"/>
      <c r="E53" s="129"/>
      <c r="F53" s="129"/>
      <c r="G53" s="129"/>
      <c r="H53" s="129" t="s">
        <v>31</v>
      </c>
    </row>
    <row r="54" spans="1:8" ht="15.75">
      <c r="A54" s="128" t="s">
        <v>65</v>
      </c>
      <c r="B54" s="129">
        <v>2300</v>
      </c>
      <c r="C54" s="129">
        <v>850</v>
      </c>
      <c r="D54" s="129"/>
      <c r="E54" s="129">
        <f>E55+E57+E58</f>
        <v>0</v>
      </c>
      <c r="F54" s="129">
        <f>F55+F57+F58</f>
        <v>0</v>
      </c>
      <c r="G54" s="129">
        <f>G55+G57+G58</f>
        <v>0</v>
      </c>
      <c r="H54" s="129" t="s">
        <v>31</v>
      </c>
    </row>
    <row r="55" spans="1:8" ht="15.75">
      <c r="A55" s="128" t="s">
        <v>47</v>
      </c>
      <c r="B55" s="201">
        <v>2310</v>
      </c>
      <c r="C55" s="201">
        <v>851</v>
      </c>
      <c r="D55" s="201"/>
      <c r="E55" s="204"/>
      <c r="F55" s="204"/>
      <c r="G55" s="204"/>
      <c r="H55" s="201" t="s">
        <v>31</v>
      </c>
    </row>
    <row r="56" spans="1:8" ht="15.75">
      <c r="A56" s="128" t="s">
        <v>88</v>
      </c>
      <c r="B56" s="201"/>
      <c r="C56" s="201"/>
      <c r="D56" s="201"/>
      <c r="E56" s="205"/>
      <c r="F56" s="205"/>
      <c r="G56" s="205"/>
      <c r="H56" s="201"/>
    </row>
    <row r="57" spans="1:8" ht="15.75">
      <c r="A57" s="134" t="s">
        <v>66</v>
      </c>
      <c r="B57" s="129">
        <v>2320</v>
      </c>
      <c r="C57" s="129">
        <v>852</v>
      </c>
      <c r="D57" s="129"/>
      <c r="E57" s="129"/>
      <c r="F57" s="129"/>
      <c r="G57" s="129"/>
      <c r="H57" s="129" t="s">
        <v>31</v>
      </c>
    </row>
    <row r="58" spans="1:8" ht="15.75">
      <c r="A58" s="134" t="s">
        <v>67</v>
      </c>
      <c r="B58" s="129">
        <v>2330</v>
      </c>
      <c r="C58" s="129">
        <v>853</v>
      </c>
      <c r="D58" s="129"/>
      <c r="E58" s="129"/>
      <c r="F58" s="129"/>
      <c r="G58" s="129"/>
      <c r="H58" s="129" t="s">
        <v>31</v>
      </c>
    </row>
    <row r="59" spans="1:8" ht="15.75">
      <c r="A59" s="128" t="s">
        <v>68</v>
      </c>
      <c r="B59" s="129">
        <v>2400</v>
      </c>
      <c r="C59" s="129" t="s">
        <v>31</v>
      </c>
      <c r="D59" s="129"/>
      <c r="E59" s="129">
        <f>E60</f>
        <v>0</v>
      </c>
      <c r="F59" s="129">
        <f>F60</f>
        <v>0</v>
      </c>
      <c r="G59" s="129">
        <f>G60</f>
        <v>0</v>
      </c>
      <c r="H59" s="129" t="s">
        <v>31</v>
      </c>
    </row>
    <row r="60" spans="1:8" ht="15.75">
      <c r="A60" s="128" t="s">
        <v>47</v>
      </c>
      <c r="B60" s="201">
        <v>2410</v>
      </c>
      <c r="C60" s="201">
        <v>810</v>
      </c>
      <c r="D60" s="201"/>
      <c r="E60" s="204"/>
      <c r="F60" s="204"/>
      <c r="G60" s="204"/>
      <c r="H60" s="201" t="s">
        <v>31</v>
      </c>
    </row>
    <row r="61" spans="1:8" ht="47.25">
      <c r="A61" s="128" t="s">
        <v>69</v>
      </c>
      <c r="B61" s="201"/>
      <c r="C61" s="201"/>
      <c r="D61" s="201"/>
      <c r="E61" s="205"/>
      <c r="F61" s="205"/>
      <c r="G61" s="205"/>
      <c r="H61" s="201"/>
    </row>
    <row r="62" spans="1:8" ht="15.75">
      <c r="A62" s="128" t="s">
        <v>70</v>
      </c>
      <c r="B62" s="129">
        <v>2500</v>
      </c>
      <c r="C62" s="129" t="s">
        <v>31</v>
      </c>
      <c r="D62" s="129"/>
      <c r="E62" s="129">
        <f>E63</f>
        <v>0</v>
      </c>
      <c r="F62" s="129">
        <f>F63</f>
        <v>0</v>
      </c>
      <c r="G62" s="129">
        <f>G63</f>
        <v>0</v>
      </c>
      <c r="H62" s="129" t="s">
        <v>31</v>
      </c>
    </row>
    <row r="63" spans="1:8" ht="31.5">
      <c r="A63" s="128" t="s">
        <v>71</v>
      </c>
      <c r="B63" s="129">
        <v>2520</v>
      </c>
      <c r="C63" s="129">
        <v>831</v>
      </c>
      <c r="D63" s="129"/>
      <c r="E63" s="129"/>
      <c r="F63" s="129"/>
      <c r="G63" s="129"/>
      <c r="H63" s="129" t="s">
        <v>31</v>
      </c>
    </row>
    <row r="64" spans="1:8" ht="15.75">
      <c r="A64" s="132" t="s">
        <v>72</v>
      </c>
      <c r="B64" s="129">
        <v>2600</v>
      </c>
      <c r="C64" s="129" t="s">
        <v>31</v>
      </c>
      <c r="D64" s="129"/>
      <c r="E64" s="133">
        <f>E65+E67+E68+E69</f>
        <v>554632.19999999995</v>
      </c>
      <c r="F64" s="133">
        <f t="shared" ref="F64:G64" si="4">F65+F67+F68+F69</f>
        <v>157000</v>
      </c>
      <c r="G64" s="133">
        <f t="shared" si="4"/>
        <v>157000</v>
      </c>
      <c r="H64" s="129"/>
    </row>
    <row r="65" spans="1:8" ht="15.75">
      <c r="A65" s="128" t="s">
        <v>33</v>
      </c>
      <c r="B65" s="201">
        <v>2610</v>
      </c>
      <c r="C65" s="201">
        <v>241</v>
      </c>
      <c r="D65" s="201"/>
      <c r="E65" s="202"/>
      <c r="F65" s="202"/>
      <c r="G65" s="202"/>
      <c r="H65" s="201"/>
    </row>
    <row r="66" spans="1:8" ht="15.75">
      <c r="A66" s="128" t="s">
        <v>73</v>
      </c>
      <c r="B66" s="201"/>
      <c r="C66" s="201"/>
      <c r="D66" s="201"/>
      <c r="E66" s="203"/>
      <c r="F66" s="203"/>
      <c r="G66" s="203"/>
      <c r="H66" s="201"/>
    </row>
    <row r="67" spans="1:8" ht="31.5">
      <c r="A67" s="128" t="s">
        <v>74</v>
      </c>
      <c r="B67" s="129">
        <v>2620</v>
      </c>
      <c r="C67" s="129">
        <v>242</v>
      </c>
      <c r="D67" s="129"/>
      <c r="E67" s="133"/>
      <c r="F67" s="133"/>
      <c r="G67" s="133"/>
      <c r="H67" s="129"/>
    </row>
    <row r="68" spans="1:8" ht="31.5">
      <c r="A68" s="128" t="s">
        <v>75</v>
      </c>
      <c r="B68" s="129">
        <v>2630</v>
      </c>
      <c r="C68" s="129">
        <v>243</v>
      </c>
      <c r="D68" s="129">
        <v>228</v>
      </c>
      <c r="E68" s="133">
        <v>0</v>
      </c>
      <c r="F68" s="133">
        <v>157000</v>
      </c>
      <c r="G68" s="133">
        <v>157000</v>
      </c>
      <c r="H68" s="129"/>
    </row>
    <row r="69" spans="1:8" ht="15.75">
      <c r="A69" s="128" t="s">
        <v>76</v>
      </c>
      <c r="B69" s="129">
        <v>2640</v>
      </c>
      <c r="C69" s="129"/>
      <c r="D69" s="129"/>
      <c r="E69" s="133">
        <f>E70+E76</f>
        <v>554632.19999999995</v>
      </c>
      <c r="F69" s="133">
        <f>F70+F76</f>
        <v>0</v>
      </c>
      <c r="G69" s="133">
        <f>G70+G76</f>
        <v>0</v>
      </c>
      <c r="H69" s="129"/>
    </row>
    <row r="70" spans="1:8" ht="15.75">
      <c r="A70" s="128" t="s">
        <v>47</v>
      </c>
      <c r="B70" s="129"/>
      <c r="C70" s="129"/>
      <c r="D70" s="129"/>
      <c r="E70" s="138">
        <f>E71+E72+E73+E75+E74</f>
        <v>554632.19999999995</v>
      </c>
      <c r="F70" s="138">
        <f>F71+F72+F73+F75</f>
        <v>0</v>
      </c>
      <c r="G70" s="138">
        <f>G71+G72+G73+G75</f>
        <v>0</v>
      </c>
      <c r="H70" s="129"/>
    </row>
    <row r="71" spans="1:8" ht="15.75">
      <c r="A71" s="128" t="s">
        <v>326</v>
      </c>
      <c r="B71" s="129"/>
      <c r="C71" s="129"/>
      <c r="D71" s="129">
        <v>223</v>
      </c>
      <c r="E71" s="139"/>
      <c r="F71" s="139"/>
      <c r="G71" s="139"/>
      <c r="H71" s="129"/>
    </row>
    <row r="72" spans="1:8" ht="15.75">
      <c r="A72" s="128" t="s">
        <v>327</v>
      </c>
      <c r="B72" s="129"/>
      <c r="C72" s="129"/>
      <c r="D72" s="129">
        <v>225</v>
      </c>
      <c r="E72" s="129"/>
      <c r="F72" s="129"/>
      <c r="G72" s="129"/>
      <c r="H72" s="129"/>
    </row>
    <row r="73" spans="1:8" ht="15.75">
      <c r="A73" s="128" t="s">
        <v>328</v>
      </c>
      <c r="B73" s="129"/>
      <c r="C73" s="129"/>
      <c r="D73" s="129">
        <v>226</v>
      </c>
      <c r="E73" s="160">
        <v>354632.2</v>
      </c>
      <c r="F73" s="129"/>
      <c r="G73" s="129"/>
      <c r="H73" s="129"/>
    </row>
    <row r="74" spans="1:8" ht="15.75">
      <c r="A74" s="161" t="s">
        <v>383</v>
      </c>
      <c r="B74" s="159"/>
      <c r="C74" s="159"/>
      <c r="D74" s="159">
        <v>228</v>
      </c>
      <c r="E74" s="160">
        <v>200000</v>
      </c>
      <c r="F74" s="159"/>
      <c r="G74" s="159"/>
      <c r="H74" s="159"/>
    </row>
    <row r="75" spans="1:8" ht="15.75">
      <c r="A75" s="128" t="s">
        <v>329</v>
      </c>
      <c r="B75" s="129"/>
      <c r="C75" s="129"/>
      <c r="D75" s="129">
        <v>312</v>
      </c>
      <c r="E75" s="138"/>
      <c r="F75" s="138"/>
      <c r="G75" s="138"/>
      <c r="H75" s="129"/>
    </row>
    <row r="76" spans="1:8" ht="15.75">
      <c r="A76" s="128" t="s">
        <v>330</v>
      </c>
      <c r="B76" s="129"/>
      <c r="C76" s="129"/>
      <c r="D76" s="129"/>
      <c r="E76" s="129"/>
      <c r="F76" s="129"/>
      <c r="G76" s="129"/>
      <c r="H76" s="129"/>
    </row>
    <row r="77" spans="1:8" ht="31.5">
      <c r="A77" s="128" t="s">
        <v>77</v>
      </c>
      <c r="B77" s="129">
        <v>2650</v>
      </c>
      <c r="C77" s="129">
        <v>400</v>
      </c>
      <c r="D77" s="129"/>
      <c r="E77" s="129">
        <f>E78+E80</f>
        <v>0</v>
      </c>
      <c r="F77" s="129"/>
      <c r="G77" s="129"/>
      <c r="H77" s="129"/>
    </row>
    <row r="78" spans="1:8" ht="15.75">
      <c r="A78" s="128" t="s">
        <v>33</v>
      </c>
      <c r="B78" s="201">
        <v>2651</v>
      </c>
      <c r="C78" s="201">
        <v>406</v>
      </c>
      <c r="D78" s="201"/>
      <c r="E78" s="201"/>
      <c r="F78" s="201"/>
      <c r="G78" s="201"/>
      <c r="H78" s="201"/>
    </row>
    <row r="79" spans="1:8" ht="15.75">
      <c r="A79" s="128" t="s">
        <v>78</v>
      </c>
      <c r="B79" s="201"/>
      <c r="C79" s="201"/>
      <c r="D79" s="201"/>
      <c r="E79" s="201"/>
      <c r="F79" s="201"/>
      <c r="G79" s="201"/>
      <c r="H79" s="201"/>
    </row>
    <row r="80" spans="1:8" ht="31.5">
      <c r="A80" s="128" t="s">
        <v>79</v>
      </c>
      <c r="B80" s="129">
        <v>2652</v>
      </c>
      <c r="C80" s="129">
        <v>407</v>
      </c>
      <c r="D80" s="129"/>
      <c r="E80" s="129"/>
      <c r="F80" s="129"/>
      <c r="G80" s="129"/>
      <c r="H80" s="129"/>
    </row>
    <row r="81" spans="1:8" ht="15.75">
      <c r="A81" s="132" t="s">
        <v>80</v>
      </c>
      <c r="B81" s="129">
        <v>3000</v>
      </c>
      <c r="C81" s="129">
        <v>100</v>
      </c>
      <c r="D81" s="129"/>
      <c r="E81" s="129"/>
      <c r="F81" s="129"/>
      <c r="G81" s="129"/>
      <c r="H81" s="129" t="s">
        <v>31</v>
      </c>
    </row>
    <row r="82" spans="1:8" ht="15.75">
      <c r="A82" s="128" t="s">
        <v>33</v>
      </c>
      <c r="B82" s="201">
        <v>3010</v>
      </c>
      <c r="C82" s="201"/>
      <c r="D82" s="201"/>
      <c r="E82" s="201"/>
      <c r="F82" s="201"/>
      <c r="G82" s="201"/>
      <c r="H82" s="201" t="s">
        <v>31</v>
      </c>
    </row>
    <row r="83" spans="1:8">
      <c r="A83" s="132" t="s">
        <v>81</v>
      </c>
      <c r="B83" s="201"/>
      <c r="C83" s="201"/>
      <c r="D83" s="201"/>
      <c r="E83" s="201"/>
      <c r="F83" s="201"/>
      <c r="G83" s="201"/>
      <c r="H83" s="201"/>
    </row>
    <row r="84" spans="1:8" ht="15.75">
      <c r="A84" s="132" t="s">
        <v>82</v>
      </c>
      <c r="B84" s="129">
        <v>3020</v>
      </c>
      <c r="C84" s="129"/>
      <c r="D84" s="129"/>
      <c r="E84" s="129"/>
      <c r="F84" s="129"/>
      <c r="G84" s="129"/>
      <c r="H84" s="129" t="s">
        <v>31</v>
      </c>
    </row>
    <row r="85" spans="1:8" ht="15.75">
      <c r="A85" s="132" t="s">
        <v>83</v>
      </c>
      <c r="B85" s="129">
        <v>3030</v>
      </c>
      <c r="C85" s="129"/>
      <c r="D85" s="129"/>
      <c r="E85" s="129"/>
      <c r="F85" s="129"/>
      <c r="G85" s="129"/>
      <c r="H85" s="129" t="s">
        <v>31</v>
      </c>
    </row>
    <row r="86" spans="1:8" ht="15.75">
      <c r="A86" s="132" t="s">
        <v>84</v>
      </c>
      <c r="B86" s="129">
        <v>4000</v>
      </c>
      <c r="C86" s="129" t="s">
        <v>31</v>
      </c>
      <c r="D86" s="129"/>
      <c r="E86" s="129"/>
      <c r="F86" s="129"/>
      <c r="G86" s="129"/>
      <c r="H86" s="129" t="s">
        <v>31</v>
      </c>
    </row>
    <row r="87" spans="1:8" ht="15.75">
      <c r="A87" s="128" t="s">
        <v>47</v>
      </c>
      <c r="B87" s="201">
        <v>4010</v>
      </c>
      <c r="C87" s="201" t="s">
        <v>86</v>
      </c>
      <c r="D87" s="201"/>
      <c r="E87" s="201"/>
      <c r="F87" s="201"/>
      <c r="G87" s="201"/>
      <c r="H87" s="201" t="s">
        <v>31</v>
      </c>
    </row>
    <row r="88" spans="1:8" ht="15.75">
      <c r="A88" s="128" t="s">
        <v>85</v>
      </c>
      <c r="B88" s="201"/>
      <c r="C88" s="201"/>
      <c r="D88" s="201"/>
      <c r="E88" s="201"/>
      <c r="F88" s="201"/>
      <c r="G88" s="201"/>
      <c r="H88" s="201"/>
    </row>
    <row r="89" spans="1:8" ht="15.75">
      <c r="A89" s="135"/>
      <c r="B89" s="127"/>
      <c r="C89" s="127"/>
      <c r="D89" s="127"/>
      <c r="E89" s="127"/>
      <c r="F89" s="127"/>
      <c r="G89" s="127"/>
      <c r="H89" s="127"/>
    </row>
  </sheetData>
  <mergeCells count="118"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78:B79"/>
    <mergeCell ref="C78:C79"/>
    <mergeCell ref="D78:D79"/>
    <mergeCell ref="E78:E79"/>
    <mergeCell ref="F78:F79"/>
    <mergeCell ref="G78:G79"/>
    <mergeCell ref="H78:H79"/>
    <mergeCell ref="B65:B66"/>
    <mergeCell ref="C65:C66"/>
    <mergeCell ref="D65:D66"/>
    <mergeCell ref="E65:E66"/>
    <mergeCell ref="F65:F66"/>
    <mergeCell ref="G65:G66"/>
    <mergeCell ref="H82:H83"/>
    <mergeCell ref="B87:B88"/>
    <mergeCell ref="C87:C88"/>
    <mergeCell ref="D87:D88"/>
    <mergeCell ref="E87:E88"/>
    <mergeCell ref="F87:F88"/>
    <mergeCell ref="G87:G88"/>
    <mergeCell ref="H87:H88"/>
    <mergeCell ref="B82:B83"/>
    <mergeCell ref="C82:C83"/>
    <mergeCell ref="D82:D83"/>
    <mergeCell ref="E82:E83"/>
    <mergeCell ref="F82:F83"/>
    <mergeCell ref="G82:G83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  <hyperlink ref="A81" location="P879" display="P879"/>
    <hyperlink ref="A83" location="P879" display="P879"/>
    <hyperlink ref="A84" location="P879" display="P879"/>
    <hyperlink ref="A85" location="P879" display="P879"/>
    <hyperlink ref="A86" location="P880" display="P880"/>
  </hyperlinks>
  <pageMargins left="0" right="0" top="0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K88"/>
  <sheetViews>
    <sheetView view="pageBreakPreview" zoomScale="60" zoomScaleNormal="70" workbookViewId="0">
      <selection activeCell="J42" sqref="J42"/>
    </sheetView>
  </sheetViews>
  <sheetFormatPr defaultColWidth="9.140625" defaultRowHeight="15"/>
  <cols>
    <col min="1" max="1" width="89.28515625" style="136" customWidth="1"/>
    <col min="2" max="2" width="9.140625" style="125"/>
    <col min="3" max="8" width="17.85546875" style="125" customWidth="1"/>
    <col min="9" max="10" width="14.85546875" style="125" bestFit="1" customWidth="1"/>
    <col min="11" max="16384" width="9.140625" style="125"/>
  </cols>
  <sheetData>
    <row r="1" spans="1:8" ht="18.75">
      <c r="A1" s="207" t="s">
        <v>26</v>
      </c>
      <c r="B1" s="207"/>
      <c r="C1" s="207"/>
      <c r="D1" s="207"/>
      <c r="E1" s="207"/>
      <c r="F1" s="207"/>
      <c r="G1" s="207"/>
      <c r="H1" s="207"/>
    </row>
    <row r="2" spans="1:8" ht="18.75">
      <c r="A2" s="126"/>
      <c r="B2" s="127"/>
      <c r="C2" s="137" t="s">
        <v>363</v>
      </c>
      <c r="D2" s="137"/>
      <c r="E2" s="137"/>
      <c r="F2" s="127"/>
      <c r="G2" s="127"/>
      <c r="H2" s="127"/>
    </row>
    <row r="3" spans="1:8" ht="15.75">
      <c r="A3" s="208" t="s">
        <v>27</v>
      </c>
      <c r="B3" s="201" t="s">
        <v>28</v>
      </c>
      <c r="C3" s="209" t="s">
        <v>322</v>
      </c>
      <c r="D3" s="209" t="s">
        <v>323</v>
      </c>
      <c r="E3" s="201" t="s">
        <v>29</v>
      </c>
      <c r="F3" s="201"/>
      <c r="G3" s="201"/>
      <c r="H3" s="201"/>
    </row>
    <row r="4" spans="1:8" ht="63">
      <c r="A4" s="208"/>
      <c r="B4" s="201"/>
      <c r="C4" s="209"/>
      <c r="D4" s="209"/>
      <c r="E4" s="152" t="s">
        <v>369</v>
      </c>
      <c r="F4" s="129" t="s">
        <v>346</v>
      </c>
      <c r="G4" s="129" t="s">
        <v>347</v>
      </c>
      <c r="H4" s="129" t="s">
        <v>30</v>
      </c>
    </row>
    <row r="5" spans="1:8">
      <c r="A5" s="130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</row>
    <row r="6" spans="1:8" ht="15.75">
      <c r="A6" s="132" t="s">
        <v>324</v>
      </c>
      <c r="B6" s="129">
        <v>1</v>
      </c>
      <c r="C6" s="129" t="s">
        <v>31</v>
      </c>
      <c r="D6" s="129" t="s">
        <v>31</v>
      </c>
      <c r="E6" s="129"/>
      <c r="F6" s="129"/>
      <c r="G6" s="129"/>
      <c r="H6" s="129"/>
    </row>
    <row r="7" spans="1:8" ht="15.75">
      <c r="A7" s="132" t="s">
        <v>325</v>
      </c>
      <c r="B7" s="129">
        <v>2</v>
      </c>
      <c r="C7" s="129" t="s">
        <v>31</v>
      </c>
      <c r="D7" s="129" t="s">
        <v>31</v>
      </c>
      <c r="E7" s="129"/>
      <c r="F7" s="129"/>
      <c r="G7" s="129"/>
      <c r="H7" s="129"/>
    </row>
    <row r="8" spans="1:8" ht="15.75">
      <c r="A8" s="128" t="s">
        <v>32</v>
      </c>
      <c r="B8" s="129">
        <v>1000</v>
      </c>
      <c r="C8" s="129"/>
      <c r="D8" s="129"/>
      <c r="E8" s="177">
        <f>E22</f>
        <v>5836925.7000000002</v>
      </c>
      <c r="F8" s="177">
        <f t="shared" ref="F8:G8" si="0">F22</f>
        <v>3236270</v>
      </c>
      <c r="G8" s="177">
        <f t="shared" si="0"/>
        <v>3236270</v>
      </c>
      <c r="H8" s="129"/>
    </row>
    <row r="9" spans="1:8" ht="15.75">
      <c r="A9" s="128" t="s">
        <v>33</v>
      </c>
      <c r="B9" s="201">
        <v>1100</v>
      </c>
      <c r="C9" s="201">
        <v>120</v>
      </c>
      <c r="D9" s="201"/>
      <c r="E9" s="210"/>
      <c r="F9" s="210"/>
      <c r="G9" s="210"/>
      <c r="H9" s="201"/>
    </row>
    <row r="10" spans="1:8" ht="15.75">
      <c r="A10" s="128" t="s">
        <v>34</v>
      </c>
      <c r="B10" s="201"/>
      <c r="C10" s="201"/>
      <c r="D10" s="201"/>
      <c r="E10" s="210"/>
      <c r="F10" s="210"/>
      <c r="G10" s="210"/>
      <c r="H10" s="201"/>
    </row>
    <row r="11" spans="1:8" ht="15.75">
      <c r="A11" s="128" t="s">
        <v>35</v>
      </c>
      <c r="B11" s="129">
        <v>1110</v>
      </c>
      <c r="C11" s="129"/>
      <c r="D11" s="129"/>
      <c r="E11" s="133"/>
      <c r="F11" s="133"/>
      <c r="G11" s="133"/>
      <c r="H11" s="129"/>
    </row>
    <row r="12" spans="1:8" ht="15.75">
      <c r="A12" s="128" t="s">
        <v>36</v>
      </c>
      <c r="B12" s="129">
        <v>1200</v>
      </c>
      <c r="C12" s="129">
        <v>130</v>
      </c>
      <c r="D12" s="129"/>
      <c r="E12" s="133"/>
      <c r="F12" s="133"/>
      <c r="G12" s="133"/>
      <c r="H12" s="129"/>
    </row>
    <row r="13" spans="1:8" ht="15.75">
      <c r="A13" s="128" t="s">
        <v>33</v>
      </c>
      <c r="B13" s="201">
        <v>1210</v>
      </c>
      <c r="C13" s="201">
        <v>130</v>
      </c>
      <c r="D13" s="201"/>
      <c r="E13" s="210"/>
      <c r="F13" s="210"/>
      <c r="G13" s="210"/>
      <c r="H13" s="201"/>
    </row>
    <row r="14" spans="1:8" ht="15.75">
      <c r="A14" s="128" t="s">
        <v>37</v>
      </c>
      <c r="B14" s="201"/>
      <c r="C14" s="201"/>
      <c r="D14" s="201"/>
      <c r="E14" s="210"/>
      <c r="F14" s="210"/>
      <c r="G14" s="210"/>
      <c r="H14" s="201"/>
    </row>
    <row r="15" spans="1:8" ht="31.5">
      <c r="A15" s="128" t="s">
        <v>38</v>
      </c>
      <c r="B15" s="129">
        <v>1230</v>
      </c>
      <c r="C15" s="129"/>
      <c r="D15" s="129"/>
      <c r="E15" s="129"/>
      <c r="F15" s="129"/>
      <c r="G15" s="129"/>
      <c r="H15" s="129"/>
    </row>
    <row r="16" spans="1:8" ht="31.5">
      <c r="A16" s="128" t="s">
        <v>39</v>
      </c>
      <c r="B16" s="129">
        <v>1240</v>
      </c>
      <c r="C16" s="129"/>
      <c r="D16" s="129"/>
      <c r="E16" s="129"/>
      <c r="F16" s="129"/>
      <c r="G16" s="129"/>
      <c r="H16" s="129"/>
    </row>
    <row r="17" spans="1:8" ht="15.75">
      <c r="A17" s="128"/>
      <c r="B17" s="129"/>
      <c r="C17" s="129"/>
      <c r="D17" s="129"/>
      <c r="E17" s="129"/>
      <c r="F17" s="129"/>
      <c r="G17" s="129"/>
      <c r="H17" s="129"/>
    </row>
    <row r="18" spans="1:8" ht="15.75">
      <c r="A18" s="128" t="s">
        <v>40</v>
      </c>
      <c r="B18" s="129">
        <v>1300</v>
      </c>
      <c r="C18" s="129">
        <v>140</v>
      </c>
      <c r="D18" s="129"/>
      <c r="E18" s="129"/>
      <c r="F18" s="129"/>
      <c r="G18" s="129"/>
      <c r="H18" s="129"/>
    </row>
    <row r="19" spans="1:8" ht="15.75">
      <c r="A19" s="128" t="s">
        <v>33</v>
      </c>
      <c r="B19" s="129">
        <v>1310</v>
      </c>
      <c r="C19" s="129">
        <v>140</v>
      </c>
      <c r="D19" s="129"/>
      <c r="E19" s="129"/>
      <c r="F19" s="129"/>
      <c r="G19" s="129"/>
      <c r="H19" s="129"/>
    </row>
    <row r="20" spans="1:8" ht="15.75">
      <c r="A20" s="128" t="s">
        <v>41</v>
      </c>
      <c r="B20" s="129">
        <v>1400</v>
      </c>
      <c r="C20" s="129">
        <v>150</v>
      </c>
      <c r="D20" s="129"/>
      <c r="E20" s="129"/>
      <c r="F20" s="129"/>
      <c r="G20" s="129"/>
      <c r="H20" s="129"/>
    </row>
    <row r="21" spans="1:8" ht="15.75">
      <c r="A21" s="128" t="s">
        <v>33</v>
      </c>
      <c r="B21" s="129"/>
      <c r="C21" s="129"/>
      <c r="D21" s="129"/>
      <c r="E21" s="129"/>
      <c r="F21" s="129"/>
      <c r="G21" s="129"/>
      <c r="H21" s="129"/>
    </row>
    <row r="22" spans="1:8" ht="15.75">
      <c r="A22" s="128" t="s">
        <v>42</v>
      </c>
      <c r="B22" s="129">
        <v>1500</v>
      </c>
      <c r="C22" s="129">
        <v>180</v>
      </c>
      <c r="D22" s="129"/>
      <c r="E22" s="133">
        <f>E23</f>
        <v>5836925.7000000002</v>
      </c>
      <c r="F22" s="133">
        <f t="shared" ref="F22:G22" si="1">F23</f>
        <v>3236270</v>
      </c>
      <c r="G22" s="133">
        <f t="shared" si="1"/>
        <v>3236270</v>
      </c>
      <c r="H22" s="129"/>
    </row>
    <row r="23" spans="1:8" ht="15.75">
      <c r="A23" s="128" t="s">
        <v>33</v>
      </c>
      <c r="B23" s="201">
        <v>1510</v>
      </c>
      <c r="C23" s="201">
        <v>180</v>
      </c>
      <c r="D23" s="201"/>
      <c r="E23" s="215">
        <f>E32</f>
        <v>5836925.7000000002</v>
      </c>
      <c r="F23" s="215">
        <f t="shared" ref="F23:G23" si="2">F32</f>
        <v>3236270</v>
      </c>
      <c r="G23" s="215">
        <f t="shared" si="2"/>
        <v>3236270</v>
      </c>
      <c r="H23" s="201"/>
    </row>
    <row r="24" spans="1:8" ht="15.75">
      <c r="A24" s="128" t="s">
        <v>43</v>
      </c>
      <c r="B24" s="201"/>
      <c r="C24" s="201"/>
      <c r="D24" s="201"/>
      <c r="E24" s="201"/>
      <c r="F24" s="201"/>
      <c r="G24" s="201"/>
      <c r="H24" s="201"/>
    </row>
    <row r="25" spans="1:8" ht="15.75">
      <c r="A25" s="128" t="s">
        <v>44</v>
      </c>
      <c r="B25" s="129">
        <v>1520</v>
      </c>
      <c r="C25" s="129">
        <v>180</v>
      </c>
      <c r="D25" s="129"/>
      <c r="E25" s="129"/>
      <c r="F25" s="129"/>
      <c r="G25" s="129"/>
      <c r="H25" s="129"/>
    </row>
    <row r="26" spans="1:8" ht="15.75">
      <c r="A26" s="128" t="s">
        <v>45</v>
      </c>
      <c r="B26" s="129">
        <v>1900</v>
      </c>
      <c r="C26" s="129"/>
      <c r="D26" s="129"/>
      <c r="E26" s="129"/>
      <c r="F26" s="129"/>
      <c r="G26" s="129"/>
      <c r="H26" s="129"/>
    </row>
    <row r="27" spans="1:8" ht="15.75">
      <c r="A27" s="128" t="s">
        <v>33</v>
      </c>
      <c r="B27" s="129"/>
      <c r="C27" s="129"/>
      <c r="D27" s="129"/>
      <c r="E27" s="129"/>
      <c r="F27" s="129"/>
      <c r="G27" s="129"/>
      <c r="H27" s="129"/>
    </row>
    <row r="28" spans="1:8" ht="15.75">
      <c r="A28" s="132" t="s">
        <v>46</v>
      </c>
      <c r="B28" s="129">
        <v>1980</v>
      </c>
      <c r="C28" s="129" t="s">
        <v>31</v>
      </c>
      <c r="D28" s="129"/>
      <c r="E28" s="129"/>
      <c r="F28" s="129"/>
      <c r="G28" s="129"/>
      <c r="H28" s="129"/>
    </row>
    <row r="29" spans="1:8" ht="15.75">
      <c r="A29" s="128" t="s">
        <v>47</v>
      </c>
      <c r="B29" s="201">
        <v>1981</v>
      </c>
      <c r="C29" s="201">
        <v>510</v>
      </c>
      <c r="D29" s="201"/>
      <c r="E29" s="201"/>
      <c r="F29" s="201"/>
      <c r="G29" s="201"/>
      <c r="H29" s="201" t="s">
        <v>31</v>
      </c>
    </row>
    <row r="30" spans="1:8" ht="31.5">
      <c r="A30" s="128" t="s">
        <v>48</v>
      </c>
      <c r="B30" s="201"/>
      <c r="C30" s="201"/>
      <c r="D30" s="201"/>
      <c r="E30" s="201"/>
      <c r="F30" s="201"/>
      <c r="G30" s="201"/>
      <c r="H30" s="201"/>
    </row>
    <row r="31" spans="1:8" ht="15.75">
      <c r="A31" s="128"/>
      <c r="B31" s="129"/>
      <c r="C31" s="129"/>
      <c r="D31" s="129"/>
      <c r="E31" s="129"/>
      <c r="F31" s="129"/>
      <c r="G31" s="129"/>
      <c r="H31" s="129"/>
    </row>
    <row r="32" spans="1:8" ht="15.75">
      <c r="A32" s="128" t="s">
        <v>49</v>
      </c>
      <c r="B32" s="129">
        <v>2000</v>
      </c>
      <c r="C32" s="129" t="s">
        <v>31</v>
      </c>
      <c r="D32" s="129"/>
      <c r="E32" s="177">
        <f>E33+E43+E54+E59+E62+E64</f>
        <v>5836925.7000000002</v>
      </c>
      <c r="F32" s="177">
        <f>F33+F43+F54+F59+F62+F64</f>
        <v>3236270</v>
      </c>
      <c r="G32" s="177">
        <f>G33+G43+G54+G59+G62+G64</f>
        <v>3236270</v>
      </c>
      <c r="H32" s="129"/>
    </row>
    <row r="33" spans="1:11" ht="15.75">
      <c r="A33" s="128" t="s">
        <v>33</v>
      </c>
      <c r="B33" s="201">
        <v>2100</v>
      </c>
      <c r="C33" s="201" t="s">
        <v>31</v>
      </c>
      <c r="D33" s="201"/>
      <c r="E33" s="202">
        <f>E35+E37+E38+E39</f>
        <v>3236270</v>
      </c>
      <c r="F33" s="202">
        <f>F35+F37+F38+F39</f>
        <v>3236270</v>
      </c>
      <c r="G33" s="202">
        <f>G35+G37+G38+G39</f>
        <v>3236270</v>
      </c>
      <c r="H33" s="201" t="s">
        <v>31</v>
      </c>
    </row>
    <row r="34" spans="1:11" ht="15.75">
      <c r="A34" s="128" t="s">
        <v>50</v>
      </c>
      <c r="B34" s="201"/>
      <c r="C34" s="201"/>
      <c r="D34" s="201"/>
      <c r="E34" s="203"/>
      <c r="F34" s="203"/>
      <c r="G34" s="203"/>
      <c r="H34" s="201"/>
      <c r="I34" s="156"/>
      <c r="J34" s="156"/>
      <c r="K34" s="156"/>
    </row>
    <row r="35" spans="1:11" ht="15.75">
      <c r="A35" s="128" t="s">
        <v>33</v>
      </c>
      <c r="B35" s="201">
        <v>2110</v>
      </c>
      <c r="C35" s="201">
        <v>111</v>
      </c>
      <c r="D35" s="201">
        <v>211</v>
      </c>
      <c r="E35" s="202">
        <v>2368600</v>
      </c>
      <c r="F35" s="202">
        <v>2368600</v>
      </c>
      <c r="G35" s="202">
        <v>2368600</v>
      </c>
      <c r="H35" s="201" t="s">
        <v>31</v>
      </c>
    </row>
    <row r="36" spans="1:11">
      <c r="A36" s="134" t="s">
        <v>51</v>
      </c>
      <c r="B36" s="201"/>
      <c r="C36" s="201"/>
      <c r="D36" s="201"/>
      <c r="E36" s="203"/>
      <c r="F36" s="203"/>
      <c r="G36" s="203"/>
      <c r="H36" s="201"/>
    </row>
    <row r="37" spans="1:11" ht="30">
      <c r="A37" s="116" t="s">
        <v>355</v>
      </c>
      <c r="B37" s="129">
        <v>2120</v>
      </c>
      <c r="C37" s="129">
        <v>111</v>
      </c>
      <c r="D37" s="129">
        <v>266</v>
      </c>
      <c r="E37" s="133">
        <v>47300</v>
      </c>
      <c r="F37" s="133">
        <v>47300</v>
      </c>
      <c r="G37" s="133">
        <v>47300</v>
      </c>
      <c r="H37" s="129" t="s">
        <v>31</v>
      </c>
    </row>
    <row r="38" spans="1:11" ht="30">
      <c r="A38" s="134" t="s">
        <v>53</v>
      </c>
      <c r="B38" s="129">
        <v>2130</v>
      </c>
      <c r="C38" s="129">
        <v>113</v>
      </c>
      <c r="D38" s="129"/>
      <c r="E38" s="133"/>
      <c r="F38" s="133"/>
      <c r="G38" s="133"/>
      <c r="H38" s="129" t="s">
        <v>31</v>
      </c>
    </row>
    <row r="39" spans="1:11" ht="31.5">
      <c r="A39" s="128" t="s">
        <v>54</v>
      </c>
      <c r="B39" s="129">
        <v>2140</v>
      </c>
      <c r="C39" s="129">
        <v>119</v>
      </c>
      <c r="D39" s="129">
        <v>213</v>
      </c>
      <c r="E39" s="149">
        <v>820370</v>
      </c>
      <c r="F39" s="149">
        <f t="shared" ref="F39:G39" si="3">820370</f>
        <v>820370</v>
      </c>
      <c r="G39" s="149">
        <f t="shared" si="3"/>
        <v>820370</v>
      </c>
      <c r="H39" s="129" t="s">
        <v>31</v>
      </c>
    </row>
    <row r="40" spans="1:11" ht="15.75">
      <c r="A40" s="128" t="s">
        <v>33</v>
      </c>
      <c r="B40" s="201">
        <v>2141</v>
      </c>
      <c r="C40" s="201">
        <v>119</v>
      </c>
      <c r="D40" s="201"/>
      <c r="E40" s="202"/>
      <c r="F40" s="202"/>
      <c r="G40" s="202"/>
      <c r="H40" s="201" t="s">
        <v>31</v>
      </c>
    </row>
    <row r="41" spans="1:11" ht="15.75">
      <c r="A41" s="128" t="s">
        <v>55</v>
      </c>
      <c r="B41" s="201"/>
      <c r="C41" s="201"/>
      <c r="D41" s="201"/>
      <c r="E41" s="203"/>
      <c r="F41" s="203"/>
      <c r="G41" s="203"/>
      <c r="H41" s="201"/>
    </row>
    <row r="42" spans="1:11" ht="15.75">
      <c r="A42" s="128" t="s">
        <v>56</v>
      </c>
      <c r="B42" s="129">
        <v>2142</v>
      </c>
      <c r="C42" s="129">
        <v>119</v>
      </c>
      <c r="D42" s="129"/>
      <c r="E42" s="133"/>
      <c r="F42" s="133"/>
      <c r="G42" s="133"/>
      <c r="H42" s="129" t="s">
        <v>31</v>
      </c>
    </row>
    <row r="43" spans="1:11" ht="30" customHeight="1">
      <c r="A43" s="134" t="s">
        <v>87</v>
      </c>
      <c r="B43" s="129">
        <v>2200</v>
      </c>
      <c r="C43" s="129">
        <v>300</v>
      </c>
      <c r="D43" s="129">
        <v>262</v>
      </c>
      <c r="E43" s="133">
        <f>E44+E51+E52+E53</f>
        <v>0</v>
      </c>
      <c r="F43" s="133">
        <f>F44+F51+F52+F53</f>
        <v>0</v>
      </c>
      <c r="G43" s="133">
        <f>G44+G51+G52+G53</f>
        <v>0</v>
      </c>
      <c r="H43" s="129" t="s">
        <v>31</v>
      </c>
    </row>
    <row r="44" spans="1:11" ht="15.75">
      <c r="A44" s="128" t="s">
        <v>33</v>
      </c>
      <c r="B44" s="201">
        <v>2210</v>
      </c>
      <c r="C44" s="201">
        <v>320</v>
      </c>
      <c r="D44" s="201"/>
      <c r="E44" s="202">
        <f>E46+E48</f>
        <v>0</v>
      </c>
      <c r="F44" s="202">
        <f t="shared" ref="F44:G44" si="4">F46+F48</f>
        <v>0</v>
      </c>
      <c r="G44" s="202">
        <f t="shared" si="4"/>
        <v>0</v>
      </c>
      <c r="H44" s="201" t="s">
        <v>31</v>
      </c>
    </row>
    <row r="45" spans="1:11" ht="15.75">
      <c r="A45" s="128" t="s">
        <v>57</v>
      </c>
      <c r="B45" s="201"/>
      <c r="C45" s="201"/>
      <c r="D45" s="201"/>
      <c r="E45" s="203"/>
      <c r="F45" s="203"/>
      <c r="G45" s="203"/>
      <c r="H45" s="201"/>
    </row>
    <row r="46" spans="1:11" ht="15.75">
      <c r="A46" s="128" t="s">
        <v>47</v>
      </c>
      <c r="B46" s="201">
        <v>2211</v>
      </c>
      <c r="C46" s="201">
        <v>321</v>
      </c>
      <c r="D46" s="201">
        <v>262</v>
      </c>
      <c r="E46" s="202"/>
      <c r="F46" s="202"/>
      <c r="G46" s="202"/>
      <c r="H46" s="201" t="s">
        <v>31</v>
      </c>
    </row>
    <row r="47" spans="1:11" ht="31.5">
      <c r="A47" s="141" t="s">
        <v>58</v>
      </c>
      <c r="B47" s="201"/>
      <c r="C47" s="201"/>
      <c r="D47" s="201"/>
      <c r="E47" s="203"/>
      <c r="F47" s="203"/>
      <c r="G47" s="203"/>
      <c r="H47" s="201"/>
    </row>
    <row r="48" spans="1:11" ht="15.75">
      <c r="A48" s="145" t="s">
        <v>59</v>
      </c>
      <c r="B48" s="214">
        <v>2212</v>
      </c>
      <c r="C48" s="201">
        <v>323</v>
      </c>
      <c r="D48" s="201">
        <v>263</v>
      </c>
      <c r="E48" s="202"/>
      <c r="F48" s="202"/>
      <c r="G48" s="202"/>
      <c r="H48" s="201"/>
    </row>
    <row r="49" spans="1:8" ht="15.75">
      <c r="A49" s="143" t="s">
        <v>60</v>
      </c>
      <c r="B49" s="214"/>
      <c r="C49" s="201"/>
      <c r="D49" s="201"/>
      <c r="E49" s="206"/>
      <c r="F49" s="206"/>
      <c r="G49" s="206"/>
      <c r="H49" s="201"/>
    </row>
    <row r="50" spans="1:8" ht="16.5" thickBot="1">
      <c r="A50" s="144" t="s">
        <v>61</v>
      </c>
      <c r="B50" s="214"/>
      <c r="C50" s="201"/>
      <c r="D50" s="201"/>
      <c r="E50" s="203"/>
      <c r="F50" s="203"/>
      <c r="G50" s="203"/>
      <c r="H50" s="201"/>
    </row>
    <row r="51" spans="1:8" ht="15.75">
      <c r="A51" s="142" t="s">
        <v>62</v>
      </c>
      <c r="B51" s="129">
        <v>2220</v>
      </c>
      <c r="C51" s="129">
        <v>340</v>
      </c>
      <c r="D51" s="129"/>
      <c r="E51" s="129"/>
      <c r="F51" s="129"/>
      <c r="G51" s="129"/>
      <c r="H51" s="129" t="s">
        <v>31</v>
      </c>
    </row>
    <row r="52" spans="1:8" ht="15.75">
      <c r="A52" s="128" t="s">
        <v>63</v>
      </c>
      <c r="B52" s="129">
        <v>2230</v>
      </c>
      <c r="C52" s="129">
        <v>350</v>
      </c>
      <c r="D52" s="129"/>
      <c r="E52" s="129"/>
      <c r="F52" s="129"/>
      <c r="G52" s="129"/>
      <c r="H52" s="129" t="s">
        <v>31</v>
      </c>
    </row>
    <row r="53" spans="1:8" ht="15.75">
      <c r="A53" s="128" t="s">
        <v>64</v>
      </c>
      <c r="B53" s="129">
        <v>2240</v>
      </c>
      <c r="C53" s="129">
        <v>360</v>
      </c>
      <c r="D53" s="129"/>
      <c r="E53" s="129"/>
      <c r="F53" s="129"/>
      <c r="G53" s="129"/>
      <c r="H53" s="129" t="s">
        <v>31</v>
      </c>
    </row>
    <row r="54" spans="1:8" ht="15.75">
      <c r="A54" s="128" t="s">
        <v>65</v>
      </c>
      <c r="B54" s="129">
        <v>2300</v>
      </c>
      <c r="C54" s="129">
        <v>850</v>
      </c>
      <c r="D54" s="129"/>
      <c r="E54" s="129">
        <f>E55+E57+E58</f>
        <v>0</v>
      </c>
      <c r="F54" s="129">
        <f>F55+F57+F58</f>
        <v>0</v>
      </c>
      <c r="G54" s="129">
        <f>G55+G57+G58</f>
        <v>0</v>
      </c>
      <c r="H54" s="129" t="s">
        <v>31</v>
      </c>
    </row>
    <row r="55" spans="1:8" ht="15.75">
      <c r="A55" s="128" t="s">
        <v>47</v>
      </c>
      <c r="B55" s="201">
        <v>2310</v>
      </c>
      <c r="C55" s="201">
        <v>851</v>
      </c>
      <c r="D55" s="201"/>
      <c r="E55" s="204"/>
      <c r="F55" s="204"/>
      <c r="G55" s="204"/>
      <c r="H55" s="201" t="s">
        <v>31</v>
      </c>
    </row>
    <row r="56" spans="1:8" ht="15.75">
      <c r="A56" s="128" t="s">
        <v>88</v>
      </c>
      <c r="B56" s="201"/>
      <c r="C56" s="201"/>
      <c r="D56" s="201"/>
      <c r="E56" s="205"/>
      <c r="F56" s="205"/>
      <c r="G56" s="205"/>
      <c r="H56" s="201"/>
    </row>
    <row r="57" spans="1:8" ht="15.75">
      <c r="A57" s="134" t="s">
        <v>66</v>
      </c>
      <c r="B57" s="129">
        <v>2320</v>
      </c>
      <c r="C57" s="129">
        <v>852</v>
      </c>
      <c r="D57" s="129"/>
      <c r="E57" s="129"/>
      <c r="F57" s="129"/>
      <c r="G57" s="129"/>
      <c r="H57" s="129" t="s">
        <v>31</v>
      </c>
    </row>
    <row r="58" spans="1:8" ht="15.75">
      <c r="A58" s="134" t="s">
        <v>67</v>
      </c>
      <c r="B58" s="129">
        <v>2330</v>
      </c>
      <c r="C58" s="129">
        <v>853</v>
      </c>
      <c r="D58" s="129"/>
      <c r="E58" s="129"/>
      <c r="F58" s="129"/>
      <c r="G58" s="129"/>
      <c r="H58" s="129" t="s">
        <v>31</v>
      </c>
    </row>
    <row r="59" spans="1:8" ht="15.75">
      <c r="A59" s="128" t="s">
        <v>68</v>
      </c>
      <c r="B59" s="129">
        <v>2400</v>
      </c>
      <c r="C59" s="129" t="s">
        <v>31</v>
      </c>
      <c r="D59" s="129"/>
      <c r="E59" s="129">
        <f>E60</f>
        <v>0</v>
      </c>
      <c r="F59" s="129">
        <f>F60</f>
        <v>0</v>
      </c>
      <c r="G59" s="129">
        <f>G60</f>
        <v>0</v>
      </c>
      <c r="H59" s="129" t="s">
        <v>31</v>
      </c>
    </row>
    <row r="60" spans="1:8" ht="15.75">
      <c r="A60" s="128" t="s">
        <v>47</v>
      </c>
      <c r="B60" s="201">
        <v>2410</v>
      </c>
      <c r="C60" s="201">
        <v>810</v>
      </c>
      <c r="D60" s="201"/>
      <c r="E60" s="204"/>
      <c r="F60" s="204"/>
      <c r="G60" s="204"/>
      <c r="H60" s="201" t="s">
        <v>31</v>
      </c>
    </row>
    <row r="61" spans="1:8" ht="31.5">
      <c r="A61" s="128" t="s">
        <v>69</v>
      </c>
      <c r="B61" s="201"/>
      <c r="C61" s="201"/>
      <c r="D61" s="201"/>
      <c r="E61" s="205"/>
      <c r="F61" s="205"/>
      <c r="G61" s="205"/>
      <c r="H61" s="201"/>
    </row>
    <row r="62" spans="1:8" ht="15.75">
      <c r="A62" s="128" t="s">
        <v>70</v>
      </c>
      <c r="B62" s="129">
        <v>2500</v>
      </c>
      <c r="C62" s="129" t="s">
        <v>31</v>
      </c>
      <c r="D62" s="129"/>
      <c r="E62" s="129">
        <f>E63</f>
        <v>0</v>
      </c>
      <c r="F62" s="129">
        <f>F63</f>
        <v>0</v>
      </c>
      <c r="G62" s="129">
        <f>G63</f>
        <v>0</v>
      </c>
      <c r="H62" s="129" t="s">
        <v>31</v>
      </c>
    </row>
    <row r="63" spans="1:8" ht="31.5">
      <c r="A63" s="128" t="s">
        <v>71</v>
      </c>
      <c r="B63" s="129">
        <v>2520</v>
      </c>
      <c r="C63" s="129">
        <v>831</v>
      </c>
      <c r="D63" s="129"/>
      <c r="E63" s="129"/>
      <c r="F63" s="129"/>
      <c r="G63" s="129"/>
      <c r="H63" s="129" t="s">
        <v>31</v>
      </c>
    </row>
    <row r="64" spans="1:8" ht="15.75">
      <c r="A64" s="132" t="s">
        <v>72</v>
      </c>
      <c r="B64" s="129">
        <v>2600</v>
      </c>
      <c r="C64" s="129" t="s">
        <v>31</v>
      </c>
      <c r="D64" s="129"/>
      <c r="E64" s="133">
        <f>E65+E67+E68+E69</f>
        <v>2600655.7000000002</v>
      </c>
      <c r="F64" s="133">
        <f t="shared" ref="F64:G64" si="5">F65+F67+F68+F69</f>
        <v>0</v>
      </c>
      <c r="G64" s="133">
        <f t="shared" si="5"/>
        <v>0</v>
      </c>
      <c r="H64" s="129"/>
    </row>
    <row r="65" spans="1:8" ht="15.75">
      <c r="A65" s="128" t="s">
        <v>33</v>
      </c>
      <c r="B65" s="201">
        <v>2610</v>
      </c>
      <c r="C65" s="201">
        <v>241</v>
      </c>
      <c r="D65" s="201"/>
      <c r="E65" s="202"/>
      <c r="F65" s="202"/>
      <c r="G65" s="202"/>
      <c r="H65" s="201"/>
    </row>
    <row r="66" spans="1:8" ht="15.75">
      <c r="A66" s="128" t="s">
        <v>73</v>
      </c>
      <c r="B66" s="201"/>
      <c r="C66" s="201"/>
      <c r="D66" s="201"/>
      <c r="E66" s="203"/>
      <c r="F66" s="203"/>
      <c r="G66" s="203"/>
      <c r="H66" s="201"/>
    </row>
    <row r="67" spans="1:8" ht="15.75">
      <c r="A67" s="128" t="s">
        <v>74</v>
      </c>
      <c r="B67" s="129">
        <v>2620</v>
      </c>
      <c r="C67" s="129">
        <v>242</v>
      </c>
      <c r="D67" s="129"/>
      <c r="E67" s="133"/>
      <c r="F67" s="133"/>
      <c r="G67" s="133"/>
      <c r="H67" s="129"/>
    </row>
    <row r="68" spans="1:8" ht="31.5">
      <c r="A68" s="128" t="s">
        <v>75</v>
      </c>
      <c r="B68" s="129">
        <v>2630</v>
      </c>
      <c r="C68" s="129">
        <v>243</v>
      </c>
      <c r="D68" s="129">
        <v>228</v>
      </c>
      <c r="E68" s="133">
        <v>0</v>
      </c>
      <c r="F68" s="133"/>
      <c r="G68" s="133"/>
      <c r="H68" s="129"/>
    </row>
    <row r="69" spans="1:8" ht="15.75">
      <c r="A69" s="128" t="s">
        <v>76</v>
      </c>
      <c r="B69" s="129">
        <v>2640</v>
      </c>
      <c r="C69" s="129"/>
      <c r="D69" s="129"/>
      <c r="E69" s="133">
        <f>E70+E75</f>
        <v>2600655.7000000002</v>
      </c>
      <c r="F69" s="133">
        <f>F70+F75</f>
        <v>0</v>
      </c>
      <c r="G69" s="133">
        <f>G70+G75</f>
        <v>0</v>
      </c>
      <c r="H69" s="129"/>
    </row>
    <row r="70" spans="1:8" ht="15.75">
      <c r="A70" s="128" t="s">
        <v>47</v>
      </c>
      <c r="B70" s="129"/>
      <c r="C70" s="129"/>
      <c r="D70" s="129"/>
      <c r="E70" s="138">
        <f>E71+E72+E73+E74</f>
        <v>2600655.7000000002</v>
      </c>
      <c r="F70" s="138">
        <f>F71+F72+F73+F74</f>
        <v>0</v>
      </c>
      <c r="G70" s="138">
        <f>G71+G72+G73+G74</f>
        <v>0</v>
      </c>
      <c r="H70" s="129"/>
    </row>
    <row r="71" spans="1:8" ht="15.75">
      <c r="A71" s="128" t="s">
        <v>326</v>
      </c>
      <c r="B71" s="129"/>
      <c r="C71" s="129"/>
      <c r="D71" s="129">
        <v>223</v>
      </c>
      <c r="E71" s="139"/>
      <c r="F71" s="139"/>
      <c r="G71" s="139"/>
      <c r="H71" s="129"/>
    </row>
    <row r="72" spans="1:8" ht="15.75">
      <c r="A72" s="128" t="s">
        <v>327</v>
      </c>
      <c r="B72" s="129"/>
      <c r="C72" s="129"/>
      <c r="D72" s="129">
        <v>225</v>
      </c>
      <c r="E72" s="129"/>
      <c r="F72" s="129"/>
      <c r="G72" s="129"/>
      <c r="H72" s="129"/>
    </row>
    <row r="73" spans="1:8" ht="15.75">
      <c r="A73" s="128" t="s">
        <v>328</v>
      </c>
      <c r="B73" s="129"/>
      <c r="C73" s="129"/>
      <c r="D73" s="129">
        <v>226</v>
      </c>
      <c r="E73" s="129">
        <v>2600655.7000000002</v>
      </c>
      <c r="F73" s="129"/>
      <c r="G73" s="129"/>
      <c r="H73" s="129"/>
    </row>
    <row r="74" spans="1:8" ht="15.75">
      <c r="A74" s="128" t="s">
        <v>329</v>
      </c>
      <c r="B74" s="129"/>
      <c r="C74" s="129"/>
      <c r="D74" s="129">
        <v>312</v>
      </c>
      <c r="E74" s="138"/>
      <c r="F74" s="138"/>
      <c r="G74" s="138"/>
      <c r="H74" s="129"/>
    </row>
    <row r="75" spans="1:8" ht="15.75">
      <c r="A75" s="128" t="s">
        <v>330</v>
      </c>
      <c r="B75" s="129"/>
      <c r="C75" s="129"/>
      <c r="D75" s="129"/>
      <c r="E75" s="129"/>
      <c r="F75" s="129"/>
      <c r="G75" s="129"/>
      <c r="H75" s="129"/>
    </row>
    <row r="76" spans="1:8" ht="31.5">
      <c r="A76" s="128" t="s">
        <v>77</v>
      </c>
      <c r="B76" s="129">
        <v>2650</v>
      </c>
      <c r="C76" s="129">
        <v>400</v>
      </c>
      <c r="D76" s="129"/>
      <c r="E76" s="129">
        <f>E77+E79</f>
        <v>0</v>
      </c>
      <c r="F76" s="129"/>
      <c r="G76" s="129"/>
      <c r="H76" s="129"/>
    </row>
    <row r="77" spans="1:8" ht="15.75">
      <c r="A77" s="128" t="s">
        <v>33</v>
      </c>
      <c r="B77" s="201">
        <v>2651</v>
      </c>
      <c r="C77" s="201">
        <v>406</v>
      </c>
      <c r="D77" s="201"/>
      <c r="E77" s="201"/>
      <c r="F77" s="201"/>
      <c r="G77" s="201"/>
      <c r="H77" s="201"/>
    </row>
    <row r="78" spans="1:8" ht="15.75">
      <c r="A78" s="128" t="s">
        <v>78</v>
      </c>
      <c r="B78" s="201"/>
      <c r="C78" s="201"/>
      <c r="D78" s="201"/>
      <c r="E78" s="201"/>
      <c r="F78" s="201"/>
      <c r="G78" s="201"/>
      <c r="H78" s="201"/>
    </row>
    <row r="79" spans="1:8" ht="31.5">
      <c r="A79" s="128" t="s">
        <v>79</v>
      </c>
      <c r="B79" s="129">
        <v>2652</v>
      </c>
      <c r="C79" s="129">
        <v>407</v>
      </c>
      <c r="D79" s="129"/>
      <c r="E79" s="129"/>
      <c r="F79" s="129"/>
      <c r="G79" s="129"/>
      <c r="H79" s="129"/>
    </row>
    <row r="80" spans="1:8" ht="15.75">
      <c r="A80" s="132" t="s">
        <v>80</v>
      </c>
      <c r="B80" s="129">
        <v>3000</v>
      </c>
      <c r="C80" s="129">
        <v>100</v>
      </c>
      <c r="D80" s="129"/>
      <c r="E80" s="129"/>
      <c r="F80" s="129"/>
      <c r="G80" s="129"/>
      <c r="H80" s="129" t="s">
        <v>31</v>
      </c>
    </row>
    <row r="81" spans="1:8" ht="15.75">
      <c r="A81" s="128" t="s">
        <v>33</v>
      </c>
      <c r="B81" s="201">
        <v>3010</v>
      </c>
      <c r="C81" s="201"/>
      <c r="D81" s="201"/>
      <c r="E81" s="201"/>
      <c r="F81" s="201"/>
      <c r="G81" s="201"/>
      <c r="H81" s="201" t="s">
        <v>31</v>
      </c>
    </row>
    <row r="82" spans="1:8">
      <c r="A82" s="132" t="s">
        <v>81</v>
      </c>
      <c r="B82" s="201"/>
      <c r="C82" s="201"/>
      <c r="D82" s="201"/>
      <c r="E82" s="201"/>
      <c r="F82" s="201"/>
      <c r="G82" s="201"/>
      <c r="H82" s="201"/>
    </row>
    <row r="83" spans="1:8" ht="15.75">
      <c r="A83" s="132" t="s">
        <v>82</v>
      </c>
      <c r="B83" s="129">
        <v>3020</v>
      </c>
      <c r="C83" s="129"/>
      <c r="D83" s="129"/>
      <c r="E83" s="129"/>
      <c r="F83" s="129"/>
      <c r="G83" s="129"/>
      <c r="H83" s="129" t="s">
        <v>31</v>
      </c>
    </row>
    <row r="84" spans="1:8" ht="15.75">
      <c r="A84" s="132" t="s">
        <v>83</v>
      </c>
      <c r="B84" s="129">
        <v>3030</v>
      </c>
      <c r="C84" s="129"/>
      <c r="D84" s="129"/>
      <c r="E84" s="129"/>
      <c r="F84" s="129"/>
      <c r="G84" s="129"/>
      <c r="H84" s="129" t="s">
        <v>31</v>
      </c>
    </row>
    <row r="85" spans="1:8" ht="15.75">
      <c r="A85" s="132" t="s">
        <v>84</v>
      </c>
      <c r="B85" s="129">
        <v>4000</v>
      </c>
      <c r="C85" s="129" t="s">
        <v>31</v>
      </c>
      <c r="D85" s="129"/>
      <c r="E85" s="129"/>
      <c r="F85" s="129"/>
      <c r="G85" s="129"/>
      <c r="H85" s="129" t="s">
        <v>31</v>
      </c>
    </row>
    <row r="86" spans="1:8" ht="15.75">
      <c r="A86" s="128" t="s">
        <v>47</v>
      </c>
      <c r="B86" s="201">
        <v>4010</v>
      </c>
      <c r="C86" s="201" t="s">
        <v>86</v>
      </c>
      <c r="D86" s="201"/>
      <c r="E86" s="201"/>
      <c r="F86" s="201"/>
      <c r="G86" s="201"/>
      <c r="H86" s="201" t="s">
        <v>31</v>
      </c>
    </row>
    <row r="87" spans="1:8" ht="15.75">
      <c r="A87" s="128" t="s">
        <v>85</v>
      </c>
      <c r="B87" s="201"/>
      <c r="C87" s="201"/>
      <c r="D87" s="201"/>
      <c r="E87" s="201"/>
      <c r="F87" s="201"/>
      <c r="G87" s="201"/>
      <c r="H87" s="201"/>
    </row>
    <row r="88" spans="1:8" ht="15.75">
      <c r="A88" s="135"/>
      <c r="B88" s="127"/>
      <c r="C88" s="127"/>
      <c r="D88" s="127"/>
      <c r="E88" s="127"/>
      <c r="F88" s="127"/>
      <c r="G88" s="127"/>
      <c r="H88" s="127"/>
    </row>
  </sheetData>
  <mergeCells count="118">
    <mergeCell ref="A1:H1"/>
    <mergeCell ref="A3:A4"/>
    <mergeCell ref="B3:B4"/>
    <mergeCell ref="C3:C4"/>
    <mergeCell ref="D3:D4"/>
    <mergeCell ref="E3:H3"/>
    <mergeCell ref="H9:H10"/>
    <mergeCell ref="B13:B14"/>
    <mergeCell ref="C13:C14"/>
    <mergeCell ref="D13:D14"/>
    <mergeCell ref="E13:E14"/>
    <mergeCell ref="F13:F14"/>
    <mergeCell ref="G13:G14"/>
    <mergeCell ref="H13:H14"/>
    <mergeCell ref="B9:B10"/>
    <mergeCell ref="C9:C10"/>
    <mergeCell ref="D9:D10"/>
    <mergeCell ref="E9:E10"/>
    <mergeCell ref="F9:F10"/>
    <mergeCell ref="G9:G10"/>
    <mergeCell ref="H23:H24"/>
    <mergeCell ref="B29:B30"/>
    <mergeCell ref="C29:C30"/>
    <mergeCell ref="D29:D30"/>
    <mergeCell ref="E29:E30"/>
    <mergeCell ref="F29:F30"/>
    <mergeCell ref="G29:G30"/>
    <mergeCell ref="H29:H30"/>
    <mergeCell ref="B23:B24"/>
    <mergeCell ref="C23:C24"/>
    <mergeCell ref="D23:D24"/>
    <mergeCell ref="E23:E24"/>
    <mergeCell ref="F23:F24"/>
    <mergeCell ref="G23:G24"/>
    <mergeCell ref="H33:H34"/>
    <mergeCell ref="B35:B36"/>
    <mergeCell ref="C35:C36"/>
    <mergeCell ref="D35:D36"/>
    <mergeCell ref="E35:E36"/>
    <mergeCell ref="F35:F36"/>
    <mergeCell ref="G35:G36"/>
    <mergeCell ref="H35:H36"/>
    <mergeCell ref="B33:B34"/>
    <mergeCell ref="C33:C34"/>
    <mergeCell ref="D33:D34"/>
    <mergeCell ref="E33:E34"/>
    <mergeCell ref="F33:F34"/>
    <mergeCell ref="G33:G34"/>
    <mergeCell ref="H40:H41"/>
    <mergeCell ref="B44:B45"/>
    <mergeCell ref="C44:C45"/>
    <mergeCell ref="D44:D45"/>
    <mergeCell ref="E44:E45"/>
    <mergeCell ref="F44:F45"/>
    <mergeCell ref="G44:G45"/>
    <mergeCell ref="H44:H45"/>
    <mergeCell ref="B40:B41"/>
    <mergeCell ref="C40:C41"/>
    <mergeCell ref="D40:D41"/>
    <mergeCell ref="E40:E41"/>
    <mergeCell ref="F40:F41"/>
    <mergeCell ref="G40:G41"/>
    <mergeCell ref="H46:H47"/>
    <mergeCell ref="B48:B50"/>
    <mergeCell ref="C48:C50"/>
    <mergeCell ref="D48:D50"/>
    <mergeCell ref="E48:E50"/>
    <mergeCell ref="F48:F50"/>
    <mergeCell ref="G48:G50"/>
    <mergeCell ref="H48:H50"/>
    <mergeCell ref="B46:B47"/>
    <mergeCell ref="C46:C47"/>
    <mergeCell ref="D46:D47"/>
    <mergeCell ref="E46:E47"/>
    <mergeCell ref="F46:F47"/>
    <mergeCell ref="G46:G47"/>
    <mergeCell ref="H55:H56"/>
    <mergeCell ref="B60:B61"/>
    <mergeCell ref="C60:C61"/>
    <mergeCell ref="D60:D61"/>
    <mergeCell ref="E60:E61"/>
    <mergeCell ref="F60:F61"/>
    <mergeCell ref="G60:G61"/>
    <mergeCell ref="H60:H61"/>
    <mergeCell ref="B55:B56"/>
    <mergeCell ref="C55:C56"/>
    <mergeCell ref="D55:D56"/>
    <mergeCell ref="E55:E56"/>
    <mergeCell ref="F55:F56"/>
    <mergeCell ref="G55:G56"/>
    <mergeCell ref="H65:H66"/>
    <mergeCell ref="B77:B78"/>
    <mergeCell ref="C77:C78"/>
    <mergeCell ref="D77:D78"/>
    <mergeCell ref="E77:E78"/>
    <mergeCell ref="F77:F78"/>
    <mergeCell ref="G77:G78"/>
    <mergeCell ref="H77:H78"/>
    <mergeCell ref="B65:B66"/>
    <mergeCell ref="C65:C66"/>
    <mergeCell ref="D65:D66"/>
    <mergeCell ref="E65:E66"/>
    <mergeCell ref="F65:F66"/>
    <mergeCell ref="G65:G66"/>
    <mergeCell ref="H81:H82"/>
    <mergeCell ref="B86:B87"/>
    <mergeCell ref="C86:C87"/>
    <mergeCell ref="D86:D87"/>
    <mergeCell ref="E86:E87"/>
    <mergeCell ref="F86:F87"/>
    <mergeCell ref="G86:G87"/>
    <mergeCell ref="H86:H87"/>
    <mergeCell ref="B81:B82"/>
    <mergeCell ref="C81:C82"/>
    <mergeCell ref="D81:D82"/>
    <mergeCell ref="E81:E82"/>
    <mergeCell ref="F81:F82"/>
    <mergeCell ref="G81:G82"/>
  </mergeCells>
  <hyperlinks>
    <hyperlink ref="C3" location="P837" display="P837"/>
    <hyperlink ref="D3" location="P853" display="P853"/>
    <hyperlink ref="A6" location="P861" display="P861"/>
    <hyperlink ref="A7" location="P861" display="P861"/>
    <hyperlink ref="A28" location="P867" display="P867"/>
    <hyperlink ref="A64" location="P875" display="P875"/>
    <hyperlink ref="A80" location="P879" display="P879"/>
    <hyperlink ref="A82" location="P879" display="P879"/>
    <hyperlink ref="A83" location="P879" display="P879"/>
    <hyperlink ref="A84" location="P879" display="P879"/>
    <hyperlink ref="A85" location="P880" display="P880"/>
  </hyperlinks>
  <pageMargins left="0" right="0" top="0" bottom="0" header="0" footer="0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60"/>
  <sheetViews>
    <sheetView view="pageBreakPreview" zoomScale="60" workbookViewId="0">
      <selection activeCell="A11" sqref="A11:XFD14"/>
    </sheetView>
  </sheetViews>
  <sheetFormatPr defaultColWidth="9.140625" defaultRowHeight="18.75"/>
  <cols>
    <col min="1" max="1" width="17.140625" style="14" customWidth="1"/>
    <col min="2" max="2" width="74.85546875" style="14" customWidth="1"/>
    <col min="3" max="3" width="13.85546875" style="14" customWidth="1"/>
    <col min="4" max="4" width="14.140625" style="14" customWidth="1"/>
    <col min="5" max="8" width="27.140625" style="14" customWidth="1"/>
    <col min="9" max="16384" width="9.140625" style="14"/>
  </cols>
  <sheetData>
    <row r="1" spans="1:8" ht="23.25">
      <c r="A1" s="223" t="s">
        <v>89</v>
      </c>
      <c r="B1" s="223"/>
      <c r="C1" s="223"/>
      <c r="D1" s="223"/>
      <c r="E1" s="223"/>
      <c r="F1" s="223"/>
      <c r="G1" s="223"/>
      <c r="H1" s="223"/>
    </row>
    <row r="2" spans="1:8" ht="20.25">
      <c r="A2" s="13"/>
      <c r="B2" s="225" t="s">
        <v>360</v>
      </c>
      <c r="C2" s="225"/>
      <c r="D2" s="225"/>
      <c r="E2" s="225"/>
      <c r="F2" s="225"/>
      <c r="G2" s="225"/>
    </row>
    <row r="3" spans="1:8">
      <c r="A3" s="13"/>
    </row>
    <row r="4" spans="1:8">
      <c r="A4" s="224" t="s">
        <v>90</v>
      </c>
      <c r="B4" s="224" t="s">
        <v>27</v>
      </c>
      <c r="C4" s="224" t="s">
        <v>91</v>
      </c>
      <c r="D4" s="224" t="s">
        <v>92</v>
      </c>
      <c r="E4" s="224" t="s">
        <v>29</v>
      </c>
      <c r="F4" s="224"/>
      <c r="G4" s="224"/>
      <c r="H4" s="224"/>
    </row>
    <row r="5" spans="1:8" ht="56.25">
      <c r="A5" s="224"/>
      <c r="B5" s="224"/>
      <c r="C5" s="224"/>
      <c r="D5" s="224"/>
      <c r="E5" s="100" t="s">
        <v>348</v>
      </c>
      <c r="F5" s="100" t="s">
        <v>349</v>
      </c>
      <c r="G5" s="100" t="s">
        <v>350</v>
      </c>
      <c r="H5" s="75" t="s">
        <v>30</v>
      </c>
    </row>
    <row r="6" spans="1:8">
      <c r="A6" s="74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</row>
    <row r="7" spans="1:8">
      <c r="A7" s="74">
        <v>1</v>
      </c>
      <c r="B7" s="19" t="s">
        <v>93</v>
      </c>
      <c r="C7" s="74">
        <v>26000</v>
      </c>
      <c r="D7" s="74" t="s">
        <v>31</v>
      </c>
      <c r="E7" s="117">
        <f>E8+E10+E11+E12</f>
        <v>8516379.7799999993</v>
      </c>
      <c r="F7" s="117">
        <f>F8+F10+F11+F12</f>
        <v>5864900</v>
      </c>
      <c r="G7" s="117">
        <f>G8+G10+G11+G12</f>
        <v>5864900</v>
      </c>
      <c r="H7" s="73"/>
    </row>
    <row r="8" spans="1:8">
      <c r="A8" s="220" t="s">
        <v>94</v>
      </c>
      <c r="B8" s="21" t="s">
        <v>33</v>
      </c>
      <c r="C8" s="220">
        <v>26100</v>
      </c>
      <c r="D8" s="220" t="s">
        <v>31</v>
      </c>
      <c r="E8" s="221"/>
      <c r="F8" s="221"/>
      <c r="G8" s="221"/>
      <c r="H8" s="219"/>
    </row>
    <row r="9" spans="1:8" ht="178.5" customHeight="1">
      <c r="A9" s="220"/>
      <c r="B9" s="21" t="s">
        <v>130</v>
      </c>
      <c r="C9" s="220"/>
      <c r="D9" s="220"/>
      <c r="E9" s="221"/>
      <c r="F9" s="221"/>
      <c r="G9" s="221"/>
      <c r="H9" s="219"/>
    </row>
    <row r="10" spans="1:8" ht="75">
      <c r="A10" s="74" t="s">
        <v>95</v>
      </c>
      <c r="B10" s="21" t="s">
        <v>131</v>
      </c>
      <c r="C10" s="74">
        <v>26200</v>
      </c>
      <c r="D10" s="74" t="s">
        <v>31</v>
      </c>
      <c r="E10" s="118"/>
      <c r="F10" s="118"/>
      <c r="G10" s="118"/>
      <c r="H10" s="73"/>
    </row>
    <row r="11" spans="1:8" ht="75">
      <c r="A11" s="74" t="s">
        <v>96</v>
      </c>
      <c r="B11" s="21" t="s">
        <v>132</v>
      </c>
      <c r="C11" s="74">
        <v>26300</v>
      </c>
      <c r="D11" s="74" t="s">
        <v>31</v>
      </c>
      <c r="E11" s="118"/>
      <c r="F11" s="118"/>
      <c r="G11" s="118"/>
      <c r="H11" s="73"/>
    </row>
    <row r="12" spans="1:8" ht="75">
      <c r="A12" s="74" t="s">
        <v>97</v>
      </c>
      <c r="B12" s="21" t="s">
        <v>133</v>
      </c>
      <c r="C12" s="74">
        <v>26400</v>
      </c>
      <c r="D12" s="74" t="s">
        <v>31</v>
      </c>
      <c r="E12" s="118">
        <f>'раздел 1 13гр '!E69+'раздел с 11гр'!E69</f>
        <v>8516379.7799999993</v>
      </c>
      <c r="F12" s="147">
        <f>'раздел 1 13гр '!F69+'раздел с 11гр'!F69</f>
        <v>5864900</v>
      </c>
      <c r="G12" s="147">
        <f>'раздел 1 13гр '!G69+'раздел с 11гр'!G69</f>
        <v>5864900</v>
      </c>
      <c r="H12" s="73"/>
    </row>
    <row r="13" spans="1:8">
      <c r="A13" s="222">
        <v>36982</v>
      </c>
      <c r="B13" s="22" t="s">
        <v>33</v>
      </c>
      <c r="C13" s="220">
        <v>26410</v>
      </c>
      <c r="D13" s="220" t="s">
        <v>31</v>
      </c>
      <c r="E13" s="221">
        <f>E15+E17</f>
        <v>6131500</v>
      </c>
      <c r="F13" s="221">
        <f>F15+F17</f>
        <v>5864900</v>
      </c>
      <c r="G13" s="221">
        <f>G15+G17</f>
        <v>5864900</v>
      </c>
      <c r="H13" s="219"/>
    </row>
    <row r="14" spans="1:8" ht="37.5">
      <c r="A14" s="222"/>
      <c r="B14" s="22" t="s">
        <v>98</v>
      </c>
      <c r="C14" s="220"/>
      <c r="D14" s="220"/>
      <c r="E14" s="221"/>
      <c r="F14" s="221"/>
      <c r="G14" s="221"/>
      <c r="H14" s="219"/>
    </row>
    <row r="15" spans="1:8">
      <c r="A15" s="220" t="s">
        <v>99</v>
      </c>
      <c r="B15" s="23" t="s">
        <v>33</v>
      </c>
      <c r="C15" s="220">
        <v>26411</v>
      </c>
      <c r="D15" s="220" t="s">
        <v>31</v>
      </c>
      <c r="E15" s="221"/>
      <c r="F15" s="221"/>
      <c r="G15" s="221"/>
      <c r="H15" s="219"/>
    </row>
    <row r="16" spans="1:8">
      <c r="A16" s="220"/>
      <c r="B16" s="24" t="s">
        <v>100</v>
      </c>
      <c r="C16" s="220"/>
      <c r="D16" s="220"/>
      <c r="E16" s="221"/>
      <c r="F16" s="221"/>
      <c r="G16" s="221"/>
      <c r="H16" s="219"/>
    </row>
    <row r="17" spans="1:8" ht="37.5">
      <c r="A17" s="74" t="s">
        <v>101</v>
      </c>
      <c r="B17" s="23" t="s">
        <v>127</v>
      </c>
      <c r="C17" s="74">
        <v>26412</v>
      </c>
      <c r="D17" s="74" t="s">
        <v>31</v>
      </c>
      <c r="E17" s="118">
        <v>6131500</v>
      </c>
      <c r="F17" s="118">
        <v>5864900</v>
      </c>
      <c r="G17" s="118">
        <v>5864900</v>
      </c>
      <c r="H17" s="73"/>
    </row>
    <row r="18" spans="1:8" ht="37.5">
      <c r="A18" s="74" t="s">
        <v>102</v>
      </c>
      <c r="B18" s="22" t="s">
        <v>103</v>
      </c>
      <c r="C18" s="74">
        <v>26420</v>
      </c>
      <c r="D18" s="74" t="s">
        <v>31</v>
      </c>
      <c r="E18" s="118"/>
      <c r="F18" s="118"/>
      <c r="G18" s="118"/>
      <c r="H18" s="73"/>
    </row>
    <row r="19" spans="1:8">
      <c r="A19" s="220" t="s">
        <v>104</v>
      </c>
      <c r="B19" s="23" t="s">
        <v>33</v>
      </c>
      <c r="C19" s="220">
        <v>26421</v>
      </c>
      <c r="D19" s="220" t="s">
        <v>31</v>
      </c>
      <c r="E19" s="221"/>
      <c r="F19" s="221"/>
      <c r="G19" s="221"/>
      <c r="H19" s="219"/>
    </row>
    <row r="20" spans="1:8">
      <c r="A20" s="220"/>
      <c r="B20" s="24" t="s">
        <v>100</v>
      </c>
      <c r="C20" s="220"/>
      <c r="D20" s="220"/>
      <c r="E20" s="221"/>
      <c r="F20" s="221"/>
      <c r="G20" s="221"/>
      <c r="H20" s="219"/>
    </row>
    <row r="21" spans="1:8" ht="37.5">
      <c r="A21" s="74" t="s">
        <v>105</v>
      </c>
      <c r="B21" s="23" t="s">
        <v>127</v>
      </c>
      <c r="C21" s="74">
        <v>26422</v>
      </c>
      <c r="D21" s="74" t="s">
        <v>31</v>
      </c>
      <c r="E21" s="118"/>
      <c r="F21" s="118"/>
      <c r="G21" s="118"/>
      <c r="H21" s="73"/>
    </row>
    <row r="22" spans="1:8" ht="37.5">
      <c r="A22" s="74" t="s">
        <v>106</v>
      </c>
      <c r="B22" s="25" t="s">
        <v>107</v>
      </c>
      <c r="C22" s="74">
        <v>26430</v>
      </c>
      <c r="D22" s="74" t="s">
        <v>31</v>
      </c>
      <c r="E22" s="118"/>
      <c r="F22" s="118"/>
      <c r="G22" s="118"/>
      <c r="H22" s="73"/>
    </row>
    <row r="23" spans="1:8" ht="37.5">
      <c r="A23" s="74" t="s">
        <v>108</v>
      </c>
      <c r="B23" s="22" t="s">
        <v>109</v>
      </c>
      <c r="C23" s="74">
        <v>26440</v>
      </c>
      <c r="D23" s="74" t="s">
        <v>31</v>
      </c>
      <c r="E23" s="118"/>
      <c r="F23" s="118"/>
      <c r="G23" s="118"/>
      <c r="H23" s="73"/>
    </row>
    <row r="24" spans="1:8">
      <c r="A24" s="220" t="s">
        <v>110</v>
      </c>
      <c r="B24" s="23" t="s">
        <v>33</v>
      </c>
      <c r="C24" s="220">
        <v>26441</v>
      </c>
      <c r="D24" s="220" t="s">
        <v>31</v>
      </c>
      <c r="E24" s="221"/>
      <c r="F24" s="221"/>
      <c r="G24" s="221"/>
      <c r="H24" s="219"/>
    </row>
    <row r="25" spans="1:8">
      <c r="A25" s="220"/>
      <c r="B25" s="24" t="s">
        <v>111</v>
      </c>
      <c r="C25" s="220"/>
      <c r="D25" s="220"/>
      <c r="E25" s="221"/>
      <c r="F25" s="221"/>
      <c r="G25" s="221"/>
      <c r="H25" s="219"/>
    </row>
    <row r="26" spans="1:8" ht="37.5">
      <c r="A26" s="74" t="s">
        <v>112</v>
      </c>
      <c r="B26" s="23" t="s">
        <v>128</v>
      </c>
      <c r="C26" s="74">
        <v>26442</v>
      </c>
      <c r="D26" s="74" t="s">
        <v>31</v>
      </c>
      <c r="E26" s="118"/>
      <c r="F26" s="118"/>
      <c r="G26" s="118"/>
      <c r="H26" s="73"/>
    </row>
    <row r="27" spans="1:8">
      <c r="A27" s="74" t="s">
        <v>113</v>
      </c>
      <c r="B27" s="22" t="s">
        <v>114</v>
      </c>
      <c r="C27" s="74">
        <v>26450</v>
      </c>
      <c r="D27" s="74" t="s">
        <v>31</v>
      </c>
      <c r="E27" s="118"/>
      <c r="F27" s="118"/>
      <c r="G27" s="118"/>
      <c r="H27" s="73"/>
    </row>
    <row r="28" spans="1:8">
      <c r="A28" s="220" t="s">
        <v>115</v>
      </c>
      <c r="B28" s="23" t="s">
        <v>33</v>
      </c>
      <c r="C28" s="220">
        <v>26451</v>
      </c>
      <c r="D28" s="220" t="s">
        <v>31</v>
      </c>
      <c r="E28" s="221"/>
      <c r="F28" s="221"/>
      <c r="G28" s="221"/>
      <c r="H28" s="219"/>
    </row>
    <row r="29" spans="1:8">
      <c r="A29" s="220"/>
      <c r="B29" s="27" t="s">
        <v>100</v>
      </c>
      <c r="C29" s="220"/>
      <c r="D29" s="220"/>
      <c r="E29" s="221"/>
      <c r="F29" s="221"/>
      <c r="G29" s="221"/>
      <c r="H29" s="219"/>
    </row>
    <row r="30" spans="1:8">
      <c r="A30" s="74" t="s">
        <v>116</v>
      </c>
      <c r="B30" s="27" t="s">
        <v>117</v>
      </c>
      <c r="C30" s="74">
        <v>26452</v>
      </c>
      <c r="D30" s="74" t="s">
        <v>31</v>
      </c>
      <c r="E30" s="118"/>
      <c r="F30" s="118"/>
      <c r="G30" s="118"/>
      <c r="H30" s="73"/>
    </row>
    <row r="31" spans="1:8" ht="75">
      <c r="A31" s="74" t="s">
        <v>118</v>
      </c>
      <c r="B31" s="26" t="s">
        <v>129</v>
      </c>
      <c r="C31" s="74">
        <v>26500</v>
      </c>
      <c r="D31" s="74" t="s">
        <v>31</v>
      </c>
      <c r="E31" s="118"/>
      <c r="F31" s="118"/>
      <c r="G31" s="118"/>
      <c r="H31" s="73"/>
    </row>
    <row r="32" spans="1:8">
      <c r="A32" s="73"/>
      <c r="B32" s="75" t="s">
        <v>119</v>
      </c>
      <c r="C32" s="75">
        <v>26510</v>
      </c>
      <c r="D32" s="75"/>
      <c r="E32" s="119"/>
      <c r="F32" s="119"/>
      <c r="G32" s="119"/>
      <c r="H32" s="75"/>
    </row>
    <row r="33" spans="1:8">
      <c r="A33" s="73"/>
      <c r="B33" s="75"/>
      <c r="C33" s="75"/>
      <c r="D33" s="75"/>
      <c r="E33" s="119"/>
      <c r="F33" s="119"/>
      <c r="G33" s="119"/>
      <c r="H33" s="75"/>
    </row>
    <row r="34" spans="1:8" ht="75">
      <c r="A34" s="74" t="s">
        <v>120</v>
      </c>
      <c r="B34" s="19" t="s">
        <v>121</v>
      </c>
      <c r="C34" s="74">
        <v>26600</v>
      </c>
      <c r="D34" s="74" t="s">
        <v>31</v>
      </c>
      <c r="E34" s="118">
        <v>6131500</v>
      </c>
      <c r="F34" s="118">
        <v>5864900</v>
      </c>
      <c r="G34" s="118">
        <v>5864900</v>
      </c>
      <c r="H34" s="73"/>
    </row>
    <row r="35" spans="1:8">
      <c r="A35" s="73"/>
      <c r="B35" s="75" t="s">
        <v>119</v>
      </c>
      <c r="C35" s="75">
        <v>26610</v>
      </c>
      <c r="D35" s="75"/>
      <c r="E35" s="140">
        <f>'раздел с 11гр'!E64+'раздел 1 13гр '!E64</f>
        <v>8516379.7799999993</v>
      </c>
      <c r="F35" s="140">
        <f>'раздел с 11гр'!F64+'раздел 1 13гр '!F64</f>
        <v>5864900</v>
      </c>
      <c r="G35" s="140">
        <f>'раздел с 11гр'!G64+'раздел 1 13гр '!G64</f>
        <v>5864900</v>
      </c>
      <c r="H35" s="75"/>
    </row>
    <row r="36" spans="1:8">
      <c r="A36" s="73"/>
      <c r="B36" s="75"/>
      <c r="C36" s="75"/>
      <c r="D36" s="75"/>
      <c r="E36" s="75"/>
      <c r="F36" s="75"/>
      <c r="G36" s="75"/>
      <c r="H36" s="75"/>
    </row>
    <row r="37" spans="1:8">
      <c r="A37" s="15"/>
    </row>
    <row r="38" spans="1:8" s="16" customFormat="1">
      <c r="A38" s="216" t="s">
        <v>122</v>
      </c>
      <c r="B38" s="216"/>
      <c r="C38" s="216"/>
      <c r="D38" s="216"/>
      <c r="E38" s="216"/>
      <c r="F38" s="216"/>
      <c r="G38" s="216"/>
      <c r="H38" s="216"/>
    </row>
    <row r="39" spans="1:8" s="16" customFormat="1">
      <c r="A39" s="216" t="s">
        <v>339</v>
      </c>
      <c r="B39" s="216"/>
      <c r="C39" s="216"/>
      <c r="D39" s="216"/>
      <c r="E39" s="216"/>
      <c r="F39" s="216"/>
      <c r="G39" s="216"/>
      <c r="H39" s="216"/>
    </row>
    <row r="40" spans="1:8" s="16" customFormat="1">
      <c r="A40" s="216" t="s">
        <v>123</v>
      </c>
      <c r="B40" s="216"/>
      <c r="C40" s="216"/>
      <c r="D40" s="216"/>
      <c r="E40" s="216"/>
      <c r="F40" s="216"/>
      <c r="G40" s="216"/>
      <c r="H40" s="216"/>
    </row>
    <row r="41" spans="1:8" s="16" customFormat="1">
      <c r="A41" s="82"/>
      <c r="B41" s="82"/>
      <c r="C41" s="82"/>
      <c r="D41" s="82"/>
      <c r="E41" s="82"/>
      <c r="F41" s="82"/>
      <c r="G41" s="82"/>
      <c r="H41" s="82"/>
    </row>
    <row r="42" spans="1:8" s="16" customFormat="1">
      <c r="A42" s="216" t="s">
        <v>353</v>
      </c>
      <c r="B42" s="216"/>
      <c r="C42" s="216"/>
      <c r="D42" s="216"/>
      <c r="E42" s="216"/>
      <c r="F42" s="216"/>
      <c r="G42" s="216"/>
      <c r="H42" s="216"/>
    </row>
    <row r="43" spans="1:8" s="16" customFormat="1">
      <c r="A43" s="216" t="s">
        <v>341</v>
      </c>
      <c r="B43" s="216"/>
      <c r="C43" s="216"/>
      <c r="D43" s="216"/>
      <c r="E43" s="216"/>
      <c r="F43" s="216"/>
      <c r="G43" s="216"/>
      <c r="H43" s="216"/>
    </row>
    <row r="44" spans="1:8" s="16" customFormat="1">
      <c r="A44" s="95"/>
    </row>
    <row r="45" spans="1:8" s="16" customFormat="1" hidden="1">
      <c r="A45" s="95"/>
    </row>
    <row r="46" spans="1:8" s="16" customFormat="1">
      <c r="A46" s="216" t="s">
        <v>351</v>
      </c>
      <c r="B46" s="216"/>
      <c r="C46" s="216"/>
      <c r="D46" s="216"/>
      <c r="E46" s="216"/>
      <c r="F46" s="216"/>
      <c r="G46" s="216"/>
      <c r="H46" s="216"/>
    </row>
    <row r="47" spans="1:8" s="16" customFormat="1">
      <c r="A47" s="95"/>
    </row>
    <row r="48" spans="1:8" s="16" customFormat="1">
      <c r="A48" s="216" t="s">
        <v>124</v>
      </c>
      <c r="B48" s="216"/>
      <c r="C48" s="216"/>
      <c r="D48" s="216"/>
      <c r="E48" s="216"/>
      <c r="F48" s="216"/>
      <c r="G48" s="216"/>
      <c r="H48" s="216"/>
    </row>
    <row r="49" spans="1:8" s="16" customFormat="1">
      <c r="A49" s="95"/>
      <c r="B49" s="95"/>
      <c r="C49" s="95"/>
      <c r="D49" s="95"/>
      <c r="E49" s="95"/>
      <c r="F49" s="95"/>
      <c r="G49" s="95"/>
      <c r="H49" s="95"/>
    </row>
    <row r="50" spans="1:8" s="16" customFormat="1">
      <c r="A50" s="218" t="s">
        <v>342</v>
      </c>
      <c r="B50" s="216"/>
      <c r="C50" s="216"/>
      <c r="D50" s="216"/>
      <c r="E50" s="216"/>
      <c r="F50" s="216"/>
      <c r="G50" s="216"/>
      <c r="H50" s="216"/>
    </row>
    <row r="51" spans="1:8" s="16" customFormat="1">
      <c r="A51" s="216" t="s">
        <v>125</v>
      </c>
      <c r="B51" s="216"/>
      <c r="C51" s="216"/>
      <c r="D51" s="216"/>
      <c r="E51" s="216"/>
      <c r="F51" s="216"/>
      <c r="G51" s="216"/>
      <c r="H51" s="216"/>
    </row>
    <row r="52" spans="1:8" s="16" customFormat="1">
      <c r="A52" s="95"/>
      <c r="B52" s="95"/>
      <c r="C52" s="95"/>
      <c r="D52" s="95"/>
      <c r="E52" s="95"/>
      <c r="F52" s="95"/>
      <c r="G52" s="95"/>
      <c r="H52" s="95"/>
    </row>
    <row r="53" spans="1:8" s="16" customFormat="1">
      <c r="A53" s="217" t="s">
        <v>354</v>
      </c>
      <c r="B53" s="217"/>
      <c r="C53" s="217"/>
      <c r="D53" s="217"/>
      <c r="E53" s="217"/>
      <c r="F53" s="217"/>
      <c r="G53" s="217"/>
      <c r="H53" s="217"/>
    </row>
    <row r="54" spans="1:8" s="16" customFormat="1">
      <c r="A54" s="216" t="s">
        <v>126</v>
      </c>
      <c r="B54" s="216"/>
      <c r="C54" s="216"/>
      <c r="D54" s="216"/>
      <c r="E54" s="216"/>
      <c r="F54" s="216"/>
      <c r="G54" s="216"/>
      <c r="H54" s="216"/>
    </row>
    <row r="55" spans="1:8" s="16" customFormat="1">
      <c r="A55" s="95"/>
    </row>
    <row r="56" spans="1:8" s="16" customFormat="1">
      <c r="A56" s="95"/>
    </row>
    <row r="57" spans="1:8" s="16" customFormat="1">
      <c r="A57" s="95"/>
    </row>
    <row r="58" spans="1:8" s="16" customFormat="1">
      <c r="A58" s="216" t="s">
        <v>351</v>
      </c>
      <c r="B58" s="216"/>
      <c r="C58" s="216"/>
      <c r="D58" s="216"/>
      <c r="E58" s="216"/>
      <c r="F58" s="216"/>
      <c r="G58" s="216"/>
      <c r="H58" s="216"/>
    </row>
    <row r="59" spans="1:8" s="16" customFormat="1">
      <c r="A59" s="95"/>
    </row>
    <row r="60" spans="1:8" s="16" customFormat="1">
      <c r="A60" s="82"/>
    </row>
  </sheetData>
  <mergeCells count="61">
    <mergeCell ref="A1:H1"/>
    <mergeCell ref="A4:A5"/>
    <mergeCell ref="B4:B5"/>
    <mergeCell ref="C4:C5"/>
    <mergeCell ref="D4:D5"/>
    <mergeCell ref="E4:H4"/>
    <mergeCell ref="B2:G2"/>
    <mergeCell ref="H8:H9"/>
    <mergeCell ref="A13:A14"/>
    <mergeCell ref="C13:C14"/>
    <mergeCell ref="D13:D14"/>
    <mergeCell ref="E13:E14"/>
    <mergeCell ref="F13:F14"/>
    <mergeCell ref="G13:G14"/>
    <mergeCell ref="H13:H14"/>
    <mergeCell ref="A8:A9"/>
    <mergeCell ref="C8:C9"/>
    <mergeCell ref="D8:D9"/>
    <mergeCell ref="E8:E9"/>
    <mergeCell ref="F8:F9"/>
    <mergeCell ref="G8:G9"/>
    <mergeCell ref="H15:H16"/>
    <mergeCell ref="A19:A20"/>
    <mergeCell ref="C19:C20"/>
    <mergeCell ref="D19:D20"/>
    <mergeCell ref="E19:E20"/>
    <mergeCell ref="F19:F20"/>
    <mergeCell ref="G19:G20"/>
    <mergeCell ref="H19:H20"/>
    <mergeCell ref="A15:A16"/>
    <mergeCell ref="C15:C16"/>
    <mergeCell ref="D15:D16"/>
    <mergeCell ref="E15:E16"/>
    <mergeCell ref="F15:F16"/>
    <mergeCell ref="G15:G16"/>
    <mergeCell ref="H24:H25"/>
    <mergeCell ref="A28:A29"/>
    <mergeCell ref="C28:C29"/>
    <mergeCell ref="D28:D29"/>
    <mergeCell ref="E28:E29"/>
    <mergeCell ref="F28:F29"/>
    <mergeCell ref="G28:G29"/>
    <mergeCell ref="H28:H29"/>
    <mergeCell ref="A24:A25"/>
    <mergeCell ref="C24:C25"/>
    <mergeCell ref="D24:D25"/>
    <mergeCell ref="E24:E25"/>
    <mergeCell ref="F24:F25"/>
    <mergeCell ref="G24:G25"/>
    <mergeCell ref="A51:H51"/>
    <mergeCell ref="A53:H53"/>
    <mergeCell ref="A54:H54"/>
    <mergeCell ref="A58:H58"/>
    <mergeCell ref="A38:H38"/>
    <mergeCell ref="A39:H39"/>
    <mergeCell ref="A40:H40"/>
    <mergeCell ref="A42:H42"/>
    <mergeCell ref="A48:H48"/>
    <mergeCell ref="A43:H43"/>
    <mergeCell ref="A46:H46"/>
    <mergeCell ref="A50:H50"/>
  </mergeCells>
  <hyperlinks>
    <hyperlink ref="A1" location="P1116" display="P1116"/>
    <hyperlink ref="B7" location="P1117" display="P1117"/>
    <hyperlink ref="B16" r:id="rId1" display="consultantplus://offline/ref=FF37134FA53EF84CFB8C456484DD62A4420BB46BBE6B93B9DC5783F5A394B82136748C4F5C9EF377BD868F2A13O2t6K"/>
    <hyperlink ref="B20" r:id="rId2" display="consultantplus://offline/ref=FF37134FA53EF84CFB8C456484DD62A4420BB46BBE6B93B9DC5783F5A394B82136748C4F5C9EF377BD868F2A13O2t6K"/>
    <hyperlink ref="B22" location="P1121" display="P1121"/>
    <hyperlink ref="B25" r:id="rId3" display="consultantplus://offline/ref=FF37134FA53EF84CFB8C456484DD62A4420BB46BBE6B93B9DC5783F5A394B82136748C4F5C9EF377BD868F2A13O2t6K"/>
    <hyperlink ref="B29" r:id="rId4" display="consultantplus://offline/ref=FF37134FA53EF84CFB8C456484DD62A4420BB46BBE6B93B9DC5783F5A394B82136748C4F5C9EF377BD868F2A13O2t6K"/>
    <hyperlink ref="B30" r:id="rId5" display="consultantplus://offline/ref=FF37134FA53EF84CFB8C456484DD62A44208BE69BF6E93B9DC5783F5A394B82136748C4F5C9EF377BD868F2A13O2t6K"/>
    <hyperlink ref="B34" r:id="rId6" display="consultantplus://offline/ref=FF37134FA53EF84CFB8C456484DD62A44208BE69BF6E93B9DC5783F5A394B82136748C4F5C9EF377BD868F2A13O2t6K"/>
  </hyperlinks>
  <pageMargins left="0" right="0" top="0" bottom="0" header="0" footer="0"/>
  <pageSetup paperSize="9" scale="60" orientation="landscape" r:id="rId7"/>
  <rowBreaks count="1" manualBreakCount="1">
    <brk id="59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H60"/>
  <sheetViews>
    <sheetView view="pageBreakPreview" topLeftCell="A7" zoomScale="60" workbookViewId="0">
      <selection activeCell="G13" sqref="G13:G14"/>
    </sheetView>
  </sheetViews>
  <sheetFormatPr defaultColWidth="9.140625" defaultRowHeight="18.75"/>
  <cols>
    <col min="1" max="1" width="17.140625" style="14" customWidth="1"/>
    <col min="2" max="2" width="74.85546875" style="14" customWidth="1"/>
    <col min="3" max="3" width="13.85546875" style="14" customWidth="1"/>
    <col min="4" max="4" width="14.140625" style="14" customWidth="1"/>
    <col min="5" max="8" width="27.140625" style="14" customWidth="1"/>
    <col min="9" max="16384" width="9.140625" style="14"/>
  </cols>
  <sheetData>
    <row r="1" spans="1:8" ht="23.25">
      <c r="A1" s="223" t="s">
        <v>89</v>
      </c>
      <c r="B1" s="223"/>
      <c r="C1" s="223"/>
      <c r="D1" s="223"/>
      <c r="E1" s="223"/>
      <c r="F1" s="223"/>
      <c r="G1" s="223"/>
      <c r="H1" s="223"/>
    </row>
    <row r="2" spans="1:8" ht="20.25">
      <c r="A2" s="13"/>
      <c r="B2" s="225" t="s">
        <v>362</v>
      </c>
      <c r="C2" s="225"/>
      <c r="D2" s="225"/>
      <c r="E2" s="225"/>
      <c r="F2" s="225"/>
      <c r="G2" s="225"/>
    </row>
    <row r="3" spans="1:8">
      <c r="A3" s="13"/>
    </row>
    <row r="4" spans="1:8">
      <c r="A4" s="224" t="s">
        <v>90</v>
      </c>
      <c r="B4" s="224" t="s">
        <v>27</v>
      </c>
      <c r="C4" s="224" t="s">
        <v>91</v>
      </c>
      <c r="D4" s="224" t="s">
        <v>92</v>
      </c>
      <c r="E4" s="224" t="s">
        <v>29</v>
      </c>
      <c r="F4" s="224"/>
      <c r="G4" s="224"/>
      <c r="H4" s="224"/>
    </row>
    <row r="5" spans="1:8" ht="56.25">
      <c r="A5" s="224"/>
      <c r="B5" s="224"/>
      <c r="C5" s="224"/>
      <c r="D5" s="224"/>
      <c r="E5" s="124" t="s">
        <v>348</v>
      </c>
      <c r="F5" s="124" t="s">
        <v>349</v>
      </c>
      <c r="G5" s="124" t="s">
        <v>350</v>
      </c>
      <c r="H5" s="124" t="s">
        <v>30</v>
      </c>
    </row>
    <row r="6" spans="1:8">
      <c r="A6" s="122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</row>
    <row r="7" spans="1:8">
      <c r="A7" s="122">
        <v>1</v>
      </c>
      <c r="B7" s="19" t="s">
        <v>93</v>
      </c>
      <c r="C7" s="122">
        <v>26000</v>
      </c>
      <c r="D7" s="122" t="s">
        <v>31</v>
      </c>
      <c r="E7" s="117">
        <f>E8+E10+E11+E12</f>
        <v>0</v>
      </c>
      <c r="F7" s="117">
        <f>F8+F10+F11+F12+F18</f>
        <v>157000</v>
      </c>
      <c r="G7" s="117">
        <f>G8+G10+G11+G12+G18</f>
        <v>157000</v>
      </c>
      <c r="H7" s="121"/>
    </row>
    <row r="8" spans="1:8">
      <c r="A8" s="220" t="s">
        <v>94</v>
      </c>
      <c r="B8" s="21" t="s">
        <v>33</v>
      </c>
      <c r="C8" s="220">
        <v>26100</v>
      </c>
      <c r="D8" s="220" t="s">
        <v>31</v>
      </c>
      <c r="E8" s="221"/>
      <c r="F8" s="221"/>
      <c r="G8" s="221"/>
      <c r="H8" s="219"/>
    </row>
    <row r="9" spans="1:8" ht="178.5" customHeight="1">
      <c r="A9" s="220"/>
      <c r="B9" s="21" t="s">
        <v>130</v>
      </c>
      <c r="C9" s="220"/>
      <c r="D9" s="220"/>
      <c r="E9" s="221"/>
      <c r="F9" s="221"/>
      <c r="G9" s="221"/>
      <c r="H9" s="219"/>
    </row>
    <row r="10" spans="1:8" ht="75">
      <c r="A10" s="122" t="s">
        <v>95</v>
      </c>
      <c r="B10" s="21" t="s">
        <v>131</v>
      </c>
      <c r="C10" s="122">
        <v>26200</v>
      </c>
      <c r="D10" s="122" t="s">
        <v>31</v>
      </c>
      <c r="E10" s="123"/>
      <c r="F10" s="123"/>
      <c r="G10" s="123"/>
      <c r="H10" s="121"/>
    </row>
    <row r="11" spans="1:8" ht="75">
      <c r="A11" s="122" t="s">
        <v>96</v>
      </c>
      <c r="B11" s="21" t="s">
        <v>132</v>
      </c>
      <c r="C11" s="122">
        <v>26300</v>
      </c>
      <c r="D11" s="122" t="s">
        <v>31</v>
      </c>
      <c r="E11" s="123"/>
      <c r="F11" s="123"/>
      <c r="G11" s="123"/>
      <c r="H11" s="121"/>
    </row>
    <row r="12" spans="1:8" ht="75">
      <c r="A12" s="122" t="s">
        <v>97</v>
      </c>
      <c r="B12" s="21" t="s">
        <v>133</v>
      </c>
      <c r="C12" s="122">
        <v>26400</v>
      </c>
      <c r="D12" s="122" t="s">
        <v>31</v>
      </c>
      <c r="E12" s="123">
        <f>E13</f>
        <v>0</v>
      </c>
      <c r="F12" s="123">
        <f>F13</f>
        <v>0</v>
      </c>
      <c r="G12" s="123">
        <f>G13</f>
        <v>0</v>
      </c>
      <c r="H12" s="121"/>
    </row>
    <row r="13" spans="1:8">
      <c r="A13" s="222">
        <v>36982</v>
      </c>
      <c r="B13" s="22" t="s">
        <v>33</v>
      </c>
      <c r="C13" s="220">
        <v>26410</v>
      </c>
      <c r="D13" s="220" t="s">
        <v>31</v>
      </c>
      <c r="E13" s="221">
        <f>E15+E17</f>
        <v>0</v>
      </c>
      <c r="F13" s="221">
        <f>F15+F17</f>
        <v>0</v>
      </c>
      <c r="G13" s="221">
        <f>G15+G17</f>
        <v>0</v>
      </c>
      <c r="H13" s="219"/>
    </row>
    <row r="14" spans="1:8" ht="37.5">
      <c r="A14" s="222"/>
      <c r="B14" s="22" t="s">
        <v>98</v>
      </c>
      <c r="C14" s="220"/>
      <c r="D14" s="220"/>
      <c r="E14" s="221"/>
      <c r="F14" s="221"/>
      <c r="G14" s="221"/>
      <c r="H14" s="219"/>
    </row>
    <row r="15" spans="1:8">
      <c r="A15" s="220" t="s">
        <v>99</v>
      </c>
      <c r="B15" s="23" t="s">
        <v>33</v>
      </c>
      <c r="C15" s="220">
        <v>26411</v>
      </c>
      <c r="D15" s="220" t="s">
        <v>31</v>
      </c>
      <c r="E15" s="221"/>
      <c r="F15" s="221"/>
      <c r="G15" s="221"/>
      <c r="H15" s="219"/>
    </row>
    <row r="16" spans="1:8">
      <c r="A16" s="220"/>
      <c r="B16" s="24" t="s">
        <v>100</v>
      </c>
      <c r="C16" s="220"/>
      <c r="D16" s="220"/>
      <c r="E16" s="221"/>
      <c r="F16" s="221"/>
      <c r="G16" s="221"/>
      <c r="H16" s="219"/>
    </row>
    <row r="17" spans="1:8" ht="37.5">
      <c r="A17" s="122" t="s">
        <v>101</v>
      </c>
      <c r="B17" s="23" t="s">
        <v>127</v>
      </c>
      <c r="C17" s="122">
        <v>26412</v>
      </c>
      <c r="D17" s="122" t="s">
        <v>31</v>
      </c>
      <c r="E17" s="123"/>
      <c r="F17" s="123"/>
      <c r="G17" s="123"/>
      <c r="H17" s="121"/>
    </row>
    <row r="18" spans="1:8" ht="37.5">
      <c r="A18" s="122" t="s">
        <v>102</v>
      </c>
      <c r="B18" s="22" t="s">
        <v>103</v>
      </c>
      <c r="C18" s="122">
        <v>26420</v>
      </c>
      <c r="D18" s="122" t="s">
        <v>31</v>
      </c>
      <c r="E18" s="123">
        <v>0</v>
      </c>
      <c r="F18" s="123">
        <v>157000</v>
      </c>
      <c r="G18" s="123">
        <v>157000</v>
      </c>
      <c r="H18" s="121"/>
    </row>
    <row r="19" spans="1:8">
      <c r="A19" s="220" t="s">
        <v>104</v>
      </c>
      <c r="B19" s="23" t="s">
        <v>33</v>
      </c>
      <c r="C19" s="220">
        <v>26421</v>
      </c>
      <c r="D19" s="220" t="s">
        <v>31</v>
      </c>
      <c r="E19" s="221"/>
      <c r="F19" s="221"/>
      <c r="G19" s="221"/>
      <c r="H19" s="219"/>
    </row>
    <row r="20" spans="1:8">
      <c r="A20" s="220"/>
      <c r="B20" s="24" t="s">
        <v>100</v>
      </c>
      <c r="C20" s="220"/>
      <c r="D20" s="220"/>
      <c r="E20" s="221"/>
      <c r="F20" s="221"/>
      <c r="G20" s="221"/>
      <c r="H20" s="219"/>
    </row>
    <row r="21" spans="1:8" ht="37.5">
      <c r="A21" s="122" t="s">
        <v>105</v>
      </c>
      <c r="B21" s="23" t="s">
        <v>127</v>
      </c>
      <c r="C21" s="122">
        <v>26422</v>
      </c>
      <c r="D21" s="122" t="s">
        <v>31</v>
      </c>
      <c r="E21" s="146">
        <v>0</v>
      </c>
      <c r="F21" s="146">
        <v>157000</v>
      </c>
      <c r="G21" s="146">
        <v>157000</v>
      </c>
      <c r="H21" s="121"/>
    </row>
    <row r="22" spans="1:8" ht="37.5">
      <c r="A22" s="122" t="s">
        <v>106</v>
      </c>
      <c r="B22" s="25" t="s">
        <v>107</v>
      </c>
      <c r="C22" s="122">
        <v>26430</v>
      </c>
      <c r="D22" s="122" t="s">
        <v>31</v>
      </c>
      <c r="E22" s="123"/>
      <c r="F22" s="123"/>
      <c r="G22" s="123"/>
      <c r="H22" s="121"/>
    </row>
    <row r="23" spans="1:8" ht="37.5">
      <c r="A23" s="122" t="s">
        <v>108</v>
      </c>
      <c r="B23" s="22" t="s">
        <v>109</v>
      </c>
      <c r="C23" s="122">
        <v>26440</v>
      </c>
      <c r="D23" s="122" t="s">
        <v>31</v>
      </c>
      <c r="E23" s="123"/>
      <c r="F23" s="123"/>
      <c r="G23" s="123"/>
      <c r="H23" s="121"/>
    </row>
    <row r="24" spans="1:8">
      <c r="A24" s="220" t="s">
        <v>110</v>
      </c>
      <c r="B24" s="23" t="s">
        <v>33</v>
      </c>
      <c r="C24" s="220">
        <v>26441</v>
      </c>
      <c r="D24" s="220" t="s">
        <v>31</v>
      </c>
      <c r="E24" s="221"/>
      <c r="F24" s="221"/>
      <c r="G24" s="221"/>
      <c r="H24" s="219"/>
    </row>
    <row r="25" spans="1:8">
      <c r="A25" s="220"/>
      <c r="B25" s="24" t="s">
        <v>111</v>
      </c>
      <c r="C25" s="220"/>
      <c r="D25" s="220"/>
      <c r="E25" s="221"/>
      <c r="F25" s="221"/>
      <c r="G25" s="221"/>
      <c r="H25" s="219"/>
    </row>
    <row r="26" spans="1:8" ht="37.5">
      <c r="A26" s="122" t="s">
        <v>112</v>
      </c>
      <c r="B26" s="23" t="s">
        <v>128</v>
      </c>
      <c r="C26" s="122">
        <v>26442</v>
      </c>
      <c r="D26" s="122" t="s">
        <v>31</v>
      </c>
      <c r="E26" s="123"/>
      <c r="F26" s="123"/>
      <c r="G26" s="123"/>
      <c r="H26" s="121"/>
    </row>
    <row r="27" spans="1:8">
      <c r="A27" s="122" t="s">
        <v>113</v>
      </c>
      <c r="B27" s="22" t="s">
        <v>114</v>
      </c>
      <c r="C27" s="122">
        <v>26450</v>
      </c>
      <c r="D27" s="122" t="s">
        <v>31</v>
      </c>
      <c r="E27" s="123"/>
      <c r="F27" s="123"/>
      <c r="G27" s="123"/>
      <c r="H27" s="121"/>
    </row>
    <row r="28" spans="1:8">
      <c r="A28" s="220" t="s">
        <v>115</v>
      </c>
      <c r="B28" s="23" t="s">
        <v>33</v>
      </c>
      <c r="C28" s="220">
        <v>26451</v>
      </c>
      <c r="D28" s="220" t="s">
        <v>31</v>
      </c>
      <c r="E28" s="221"/>
      <c r="F28" s="221"/>
      <c r="G28" s="221"/>
      <c r="H28" s="219"/>
    </row>
    <row r="29" spans="1:8">
      <c r="A29" s="220"/>
      <c r="B29" s="27" t="s">
        <v>100</v>
      </c>
      <c r="C29" s="220"/>
      <c r="D29" s="220"/>
      <c r="E29" s="221"/>
      <c r="F29" s="221"/>
      <c r="G29" s="221"/>
      <c r="H29" s="219"/>
    </row>
    <row r="30" spans="1:8">
      <c r="A30" s="122" t="s">
        <v>116</v>
      </c>
      <c r="B30" s="27" t="s">
        <v>117</v>
      </c>
      <c r="C30" s="122">
        <v>26452</v>
      </c>
      <c r="D30" s="122" t="s">
        <v>31</v>
      </c>
      <c r="E30" s="123"/>
      <c r="F30" s="123"/>
      <c r="G30" s="123"/>
      <c r="H30" s="121"/>
    </row>
    <row r="31" spans="1:8" ht="75">
      <c r="A31" s="122" t="s">
        <v>118</v>
      </c>
      <c r="B31" s="26" t="s">
        <v>129</v>
      </c>
      <c r="C31" s="122">
        <v>26500</v>
      </c>
      <c r="D31" s="122" t="s">
        <v>31</v>
      </c>
      <c r="E31" s="123"/>
      <c r="F31" s="123"/>
      <c r="G31" s="123"/>
      <c r="H31" s="121"/>
    </row>
    <row r="32" spans="1:8">
      <c r="A32" s="121"/>
      <c r="B32" s="124" t="s">
        <v>119</v>
      </c>
      <c r="C32" s="124">
        <v>26510</v>
      </c>
      <c r="D32" s="124"/>
      <c r="E32" s="119"/>
      <c r="F32" s="119"/>
      <c r="G32" s="119"/>
      <c r="H32" s="124"/>
    </row>
    <row r="33" spans="1:8">
      <c r="A33" s="121"/>
      <c r="B33" s="124"/>
      <c r="C33" s="124"/>
      <c r="D33" s="124"/>
      <c r="E33" s="119"/>
      <c r="F33" s="119"/>
      <c r="G33" s="119"/>
      <c r="H33" s="124"/>
    </row>
    <row r="34" spans="1:8" ht="75">
      <c r="A34" s="122" t="s">
        <v>120</v>
      </c>
      <c r="B34" s="19" t="s">
        <v>121</v>
      </c>
      <c r="C34" s="122">
        <v>26600</v>
      </c>
      <c r="D34" s="122" t="s">
        <v>31</v>
      </c>
      <c r="E34" s="123">
        <v>0</v>
      </c>
      <c r="F34" s="123">
        <v>157000</v>
      </c>
      <c r="G34" s="123">
        <v>157000</v>
      </c>
      <c r="H34" s="121"/>
    </row>
    <row r="35" spans="1:8">
      <c r="A35" s="121"/>
      <c r="B35" s="124" t="s">
        <v>119</v>
      </c>
      <c r="C35" s="124">
        <v>26610</v>
      </c>
      <c r="D35" s="124"/>
      <c r="E35" s="140">
        <f>'раздел 1 11гр иные'!E64+'раздел 1 12гр иные '!E64</f>
        <v>3155287.9000000004</v>
      </c>
      <c r="F35" s="140">
        <f>'раздел 1 11гр иные'!F64+'раздел 1 12гр иные '!F64</f>
        <v>157000</v>
      </c>
      <c r="G35" s="140">
        <f>'раздел 1 11гр иные'!G64+'раздел 1 12гр иные '!G64</f>
        <v>157000</v>
      </c>
      <c r="H35" s="124"/>
    </row>
    <row r="36" spans="1:8">
      <c r="A36" s="121"/>
      <c r="B36" s="124"/>
      <c r="C36" s="124"/>
      <c r="D36" s="124"/>
      <c r="E36" s="124"/>
      <c r="F36" s="124"/>
      <c r="G36" s="124"/>
      <c r="H36" s="124"/>
    </row>
    <row r="37" spans="1:8">
      <c r="A37" s="15"/>
    </row>
    <row r="38" spans="1:8" s="16" customFormat="1">
      <c r="A38" s="216" t="s">
        <v>122</v>
      </c>
      <c r="B38" s="216"/>
      <c r="C38" s="216"/>
      <c r="D38" s="216"/>
      <c r="E38" s="216"/>
      <c r="F38" s="216"/>
      <c r="G38" s="216"/>
      <c r="H38" s="216"/>
    </row>
    <row r="39" spans="1:8" s="16" customFormat="1">
      <c r="A39" s="216" t="s">
        <v>339</v>
      </c>
      <c r="B39" s="216"/>
      <c r="C39" s="216"/>
      <c r="D39" s="216"/>
      <c r="E39" s="216"/>
      <c r="F39" s="216"/>
      <c r="G39" s="216"/>
      <c r="H39" s="216"/>
    </row>
    <row r="40" spans="1:8" s="16" customFormat="1">
      <c r="A40" s="216" t="s">
        <v>123</v>
      </c>
      <c r="B40" s="216"/>
      <c r="C40" s="216"/>
      <c r="D40" s="216"/>
      <c r="E40" s="216"/>
      <c r="F40" s="216"/>
      <c r="G40" s="216"/>
      <c r="H40" s="216"/>
    </row>
    <row r="41" spans="1:8" s="16" customFormat="1">
      <c r="A41" s="120"/>
      <c r="B41" s="120"/>
      <c r="C41" s="120"/>
      <c r="D41" s="120"/>
      <c r="E41" s="120"/>
      <c r="F41" s="120"/>
      <c r="G41" s="120"/>
      <c r="H41" s="120"/>
    </row>
    <row r="42" spans="1:8" s="16" customFormat="1">
      <c r="A42" s="216" t="s">
        <v>353</v>
      </c>
      <c r="B42" s="216"/>
      <c r="C42" s="216"/>
      <c r="D42" s="216"/>
      <c r="E42" s="216"/>
      <c r="F42" s="216"/>
      <c r="G42" s="216"/>
      <c r="H42" s="216"/>
    </row>
    <row r="43" spans="1:8" s="16" customFormat="1">
      <c r="A43" s="216" t="s">
        <v>341</v>
      </c>
      <c r="B43" s="216"/>
      <c r="C43" s="216"/>
      <c r="D43" s="216"/>
      <c r="E43" s="216"/>
      <c r="F43" s="216"/>
      <c r="G43" s="216"/>
      <c r="H43" s="216"/>
    </row>
    <row r="44" spans="1:8" s="16" customFormat="1">
      <c r="A44" s="120"/>
    </row>
    <row r="45" spans="1:8" s="16" customFormat="1" hidden="1">
      <c r="A45" s="120"/>
    </row>
    <row r="46" spans="1:8" s="16" customFormat="1">
      <c r="A46" s="216" t="s">
        <v>351</v>
      </c>
      <c r="B46" s="216"/>
      <c r="C46" s="216"/>
      <c r="D46" s="216"/>
      <c r="E46" s="216"/>
      <c r="F46" s="216"/>
      <c r="G46" s="216"/>
      <c r="H46" s="216"/>
    </row>
    <row r="47" spans="1:8" s="16" customFormat="1">
      <c r="A47" s="120"/>
    </row>
    <row r="48" spans="1:8" s="16" customFormat="1">
      <c r="A48" s="216" t="s">
        <v>124</v>
      </c>
      <c r="B48" s="216"/>
      <c r="C48" s="216"/>
      <c r="D48" s="216"/>
      <c r="E48" s="216"/>
      <c r="F48" s="216"/>
      <c r="G48" s="216"/>
      <c r="H48" s="216"/>
    </row>
    <row r="49" spans="1:8" s="16" customFormat="1">
      <c r="A49" s="120"/>
      <c r="B49" s="120"/>
      <c r="C49" s="120"/>
      <c r="D49" s="120"/>
      <c r="E49" s="120"/>
      <c r="F49" s="120"/>
      <c r="G49" s="120"/>
      <c r="H49" s="120"/>
    </row>
    <row r="50" spans="1:8" s="16" customFormat="1">
      <c r="A50" s="218" t="s">
        <v>342</v>
      </c>
      <c r="B50" s="216"/>
      <c r="C50" s="216"/>
      <c r="D50" s="216"/>
      <c r="E50" s="216"/>
      <c r="F50" s="216"/>
      <c r="G50" s="216"/>
      <c r="H50" s="216"/>
    </row>
    <row r="51" spans="1:8" s="16" customFormat="1">
      <c r="A51" s="216" t="s">
        <v>125</v>
      </c>
      <c r="B51" s="216"/>
      <c r="C51" s="216"/>
      <c r="D51" s="216"/>
      <c r="E51" s="216"/>
      <c r="F51" s="216"/>
      <c r="G51" s="216"/>
      <c r="H51" s="216"/>
    </row>
    <row r="52" spans="1:8" s="16" customFormat="1">
      <c r="A52" s="120"/>
      <c r="B52" s="120"/>
      <c r="C52" s="120"/>
      <c r="D52" s="120"/>
      <c r="E52" s="120"/>
      <c r="F52" s="120"/>
      <c r="G52" s="120"/>
      <c r="H52" s="120"/>
    </row>
    <row r="53" spans="1:8" s="16" customFormat="1">
      <c r="A53" s="217" t="s">
        <v>354</v>
      </c>
      <c r="B53" s="217"/>
      <c r="C53" s="217"/>
      <c r="D53" s="217"/>
      <c r="E53" s="217"/>
      <c r="F53" s="217"/>
      <c r="G53" s="217"/>
      <c r="H53" s="217"/>
    </row>
    <row r="54" spans="1:8" s="16" customFormat="1">
      <c r="A54" s="216" t="s">
        <v>126</v>
      </c>
      <c r="B54" s="216"/>
      <c r="C54" s="216"/>
      <c r="D54" s="216"/>
      <c r="E54" s="216"/>
      <c r="F54" s="216"/>
      <c r="G54" s="216"/>
      <c r="H54" s="216"/>
    </row>
    <row r="55" spans="1:8" s="16" customFormat="1">
      <c r="A55" s="120"/>
    </row>
    <row r="56" spans="1:8" s="16" customFormat="1">
      <c r="A56" s="120"/>
    </row>
    <row r="57" spans="1:8" s="16" customFormat="1">
      <c r="A57" s="120"/>
    </row>
    <row r="58" spans="1:8" s="16" customFormat="1">
      <c r="A58" s="216" t="s">
        <v>351</v>
      </c>
      <c r="B58" s="216"/>
      <c r="C58" s="216"/>
      <c r="D58" s="216"/>
      <c r="E58" s="216"/>
      <c r="F58" s="216"/>
      <c r="G58" s="216"/>
      <c r="H58" s="216"/>
    </row>
    <row r="59" spans="1:8" s="16" customFormat="1">
      <c r="A59" s="120"/>
    </row>
    <row r="60" spans="1:8" s="16" customFormat="1">
      <c r="A60" s="120"/>
    </row>
  </sheetData>
  <mergeCells count="61">
    <mergeCell ref="A1:H1"/>
    <mergeCell ref="B2:G2"/>
    <mergeCell ref="A4:A5"/>
    <mergeCell ref="B4:B5"/>
    <mergeCell ref="C4:C5"/>
    <mergeCell ref="D4:D5"/>
    <mergeCell ref="E4:H4"/>
    <mergeCell ref="H8:H9"/>
    <mergeCell ref="A13:A14"/>
    <mergeCell ref="C13:C14"/>
    <mergeCell ref="D13:D14"/>
    <mergeCell ref="E13:E14"/>
    <mergeCell ref="F13:F14"/>
    <mergeCell ref="G13:G14"/>
    <mergeCell ref="H13:H14"/>
    <mergeCell ref="A8:A9"/>
    <mergeCell ref="C8:C9"/>
    <mergeCell ref="D8:D9"/>
    <mergeCell ref="E8:E9"/>
    <mergeCell ref="F8:F9"/>
    <mergeCell ref="G8:G9"/>
    <mergeCell ref="H15:H16"/>
    <mergeCell ref="A19:A20"/>
    <mergeCell ref="C19:C20"/>
    <mergeCell ref="D19:D20"/>
    <mergeCell ref="E19:E20"/>
    <mergeCell ref="F19:F20"/>
    <mergeCell ref="G19:G20"/>
    <mergeCell ref="H19:H20"/>
    <mergeCell ref="A15:A16"/>
    <mergeCell ref="C15:C16"/>
    <mergeCell ref="D15:D16"/>
    <mergeCell ref="E15:E16"/>
    <mergeCell ref="F15:F16"/>
    <mergeCell ref="G15:G16"/>
    <mergeCell ref="H24:H25"/>
    <mergeCell ref="A28:A29"/>
    <mergeCell ref="C28:C29"/>
    <mergeCell ref="D28:D29"/>
    <mergeCell ref="E28:E29"/>
    <mergeCell ref="F28:F29"/>
    <mergeCell ref="G28:G29"/>
    <mergeCell ref="H28:H29"/>
    <mergeCell ref="A24:A25"/>
    <mergeCell ref="C24:C25"/>
    <mergeCell ref="D24:D25"/>
    <mergeCell ref="E24:E25"/>
    <mergeCell ref="F24:F25"/>
    <mergeCell ref="G24:G25"/>
    <mergeCell ref="A58:H58"/>
    <mergeCell ref="A38:H38"/>
    <mergeCell ref="A39:H39"/>
    <mergeCell ref="A40:H40"/>
    <mergeCell ref="A42:H42"/>
    <mergeCell ref="A43:H43"/>
    <mergeCell ref="A46:H46"/>
    <mergeCell ref="A48:H48"/>
    <mergeCell ref="A50:H50"/>
    <mergeCell ref="A51:H51"/>
    <mergeCell ref="A53:H53"/>
    <mergeCell ref="A54:H54"/>
  </mergeCells>
  <hyperlinks>
    <hyperlink ref="A1" location="P1116" display="P1116"/>
    <hyperlink ref="B7" location="P1117" display="P1117"/>
    <hyperlink ref="B16" r:id="rId1" display="consultantplus://offline/ref=FF37134FA53EF84CFB8C456484DD62A4420BB46BBE6B93B9DC5783F5A394B82136748C4F5C9EF377BD868F2A13O2t6K"/>
    <hyperlink ref="B20" r:id="rId2" display="consultantplus://offline/ref=FF37134FA53EF84CFB8C456484DD62A4420BB46BBE6B93B9DC5783F5A394B82136748C4F5C9EF377BD868F2A13O2t6K"/>
    <hyperlink ref="B22" location="P1121" display="P1121"/>
    <hyperlink ref="B25" r:id="rId3" display="consultantplus://offline/ref=FF37134FA53EF84CFB8C456484DD62A4420BB46BBE6B93B9DC5783F5A394B82136748C4F5C9EF377BD868F2A13O2t6K"/>
    <hyperlink ref="B29" r:id="rId4" display="consultantplus://offline/ref=FF37134FA53EF84CFB8C456484DD62A4420BB46BBE6B93B9DC5783F5A394B82136748C4F5C9EF377BD868F2A13O2t6K"/>
    <hyperlink ref="B30" r:id="rId5" display="consultantplus://offline/ref=FF37134FA53EF84CFB8C456484DD62A44208BE69BF6E93B9DC5783F5A394B82136748C4F5C9EF377BD868F2A13O2t6K"/>
    <hyperlink ref="B34" r:id="rId6" display="consultantplus://offline/ref=FF37134FA53EF84CFB8C456484DD62A44208BE69BF6E93B9DC5783F5A394B82136748C4F5C9EF377BD868F2A13O2t6K"/>
  </hyperlinks>
  <pageMargins left="0" right="0" top="0" bottom="0" header="0" footer="0"/>
  <pageSetup paperSize="9" scale="60" orientation="landscape" r:id="rId7"/>
  <rowBreaks count="1" manualBreakCount="1">
    <brk id="5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11</vt:i4>
      </vt:variant>
    </vt:vector>
  </HeadingPairs>
  <TitlesOfParts>
    <vt:vector size="29" baseType="lpstr">
      <vt:lpstr>титульник  (2)</vt:lpstr>
      <vt:lpstr>титульник </vt:lpstr>
      <vt:lpstr>раздел с 11гр</vt:lpstr>
      <vt:lpstr>раздел 1 13гр </vt:lpstr>
      <vt:lpstr>раздел 1 13иные1</vt:lpstr>
      <vt:lpstr>раздел 1 11гр иные</vt:lpstr>
      <vt:lpstr>раздел 1 12гр иные </vt:lpstr>
      <vt:lpstr>раздел 2 МЗ</vt:lpstr>
      <vt:lpstr>раздел 2 иные</vt:lpstr>
      <vt:lpstr>раздел 2 13гр</vt:lpstr>
      <vt:lpstr>внебюджет</vt:lpstr>
      <vt:lpstr>раздел 1 ОБЩ</vt:lpstr>
      <vt:lpstr>раздел 2 ОБЩ</vt:lpstr>
      <vt:lpstr>обоснования 1-5 </vt:lpstr>
      <vt:lpstr>обоснование 6 11гр</vt:lpstr>
      <vt:lpstr>обоснование 6 13гр </vt:lpstr>
      <vt:lpstr>обоснование с 6,2-11,8 13гр</vt:lpstr>
      <vt:lpstr>обоснование с 6,2-11,8 11гр</vt:lpstr>
      <vt:lpstr>'обоснование с 6,2-11,8 13гр'!_GoBack</vt:lpstr>
      <vt:lpstr>'обоснование 6 11гр'!Область_печати</vt:lpstr>
      <vt:lpstr>'обоснование с 6,2-11,8 11гр'!Область_печати</vt:lpstr>
      <vt:lpstr>'обоснование с 6,2-11,8 13гр'!Область_печати</vt:lpstr>
      <vt:lpstr>'раздел 1 ОБЩ'!Область_печати</vt:lpstr>
      <vt:lpstr>'раздел 2 13гр'!Область_печати</vt:lpstr>
      <vt:lpstr>'раздел 2 иные'!Область_печати</vt:lpstr>
      <vt:lpstr>'раздел 2 МЗ'!Область_печати</vt:lpstr>
      <vt:lpstr>'раздел 2 ОБЩ'!Область_печати</vt:lpstr>
      <vt:lpstr>'титульник '!Область_печати</vt:lpstr>
      <vt:lpstr>'титульник 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PLAN_10</dc:creator>
  <cp:lastModifiedBy>Карина</cp:lastModifiedBy>
  <cp:lastPrinted>2022-02-03T09:07:04Z</cp:lastPrinted>
  <dcterms:created xsi:type="dcterms:W3CDTF">2019-12-09T10:19:17Z</dcterms:created>
  <dcterms:modified xsi:type="dcterms:W3CDTF">2022-02-03T09:07:26Z</dcterms:modified>
</cp:coreProperties>
</file>